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1860" windowWidth="15480" windowHeight="6330" tabRatio="834"/>
  </bookViews>
  <sheets>
    <sheet name="1.sz.mell." sheetId="131" r:id="rId1"/>
    <sheet name="1.1.sz.mell  " sheetId="2" r:id="rId2"/>
    <sheet name="1.2.sz.mell  " sheetId="3" r:id="rId3"/>
    <sheet name="2. sz. mell" sheetId="124" r:id="rId4"/>
    <sheet name="2.a sz. mell" sheetId="136" r:id="rId5"/>
    <sheet name="2.b sz. mell" sheetId="135" r:id="rId6"/>
    <sheet name="2.c sz. mell " sheetId="134" r:id="rId7"/>
    <sheet name="3. sz. mell" sheetId="5" r:id="rId8"/>
    <sheet name="3. a. sz. mell" sheetId="128" r:id="rId9"/>
    <sheet name="3.b. sz. mell" sheetId="129" r:id="rId10"/>
    <sheet name="3.c. sz. mell " sheetId="130" r:id="rId11"/>
    <sheet name="3.1.asz.melléklet" sheetId="6" r:id="rId12"/>
    <sheet name="3.2.sz.melléklet" sheetId="7" r:id="rId13"/>
    <sheet name="4. sz. mell." sheetId="8" r:id="rId14"/>
    <sheet name="4.a. sz. mell." sheetId="125" r:id="rId15"/>
    <sheet name="4. b.sz. mell." sheetId="126" r:id="rId16"/>
    <sheet name="4.c. sz. mell." sheetId="127" r:id="rId17"/>
    <sheet name="4.1 sz. mell" sheetId="9" r:id="rId18"/>
    <sheet name="4.2 sz. mell" sheetId="11" r:id="rId19"/>
    <sheet name="4.3.sz. mell. " sheetId="13" r:id="rId20"/>
    <sheet name="4.4 sz. mell." sheetId="14" r:id="rId21"/>
    <sheet name="4.5.sz. mell." sheetId="15" r:id="rId22"/>
    <sheet name="4.6.sz. mell." sheetId="16" r:id="rId23"/>
    <sheet name="5. sz. mell. " sheetId="17" r:id="rId24"/>
    <sheet name="5.a sz. mell. " sheetId="112" r:id="rId25"/>
    <sheet name="5.b. sz. mell." sheetId="113" r:id="rId26"/>
    <sheet name="5.c sz. mell." sheetId="114" r:id="rId27"/>
    <sheet name="5.1. sz. mell. " sheetId="24" r:id="rId28"/>
    <sheet name="5.1.a. sz. mell." sheetId="109" r:id="rId29"/>
    <sheet name="5.1.b. sz. mell." sheetId="110" r:id="rId30"/>
    <sheet name="5.1.c. sz. mell." sheetId="111" r:id="rId31"/>
    <sheet name="5.2. sz. mell.  " sheetId="25" r:id="rId32"/>
    <sheet name="5.2.a. sz. mell." sheetId="106" r:id="rId33"/>
    <sheet name="5.2.b. sz. mell" sheetId="107" r:id="rId34"/>
    <sheet name="5.2.c. sz. mell." sheetId="108" r:id="rId35"/>
    <sheet name="5.3 sz. mell" sheetId="26" r:id="rId36"/>
    <sheet name="5.3.a. sz. mell" sheetId="103" r:id="rId37"/>
    <sheet name="5.3 b. sz. mell" sheetId="104" r:id="rId38"/>
    <sheet name="5.3.c. sz. mell" sheetId="105" r:id="rId39"/>
    <sheet name="5.4. sz mell" sheetId="27" r:id="rId40"/>
    <sheet name="5.4.a. sz mell" sheetId="100" r:id="rId41"/>
    <sheet name="5.4.b. sz mell" sheetId="101" r:id="rId42"/>
    <sheet name="5.4.c. sz mell" sheetId="102" r:id="rId43"/>
    <sheet name="5.5. sz. mell.  " sheetId="28" r:id="rId44"/>
    <sheet name="5.5.a. sz. mell." sheetId="96" r:id="rId45"/>
    <sheet name="5.5.b.sz. mell" sheetId="97" r:id="rId46"/>
    <sheet name="5.5.c. sz. mell" sheetId="98" r:id="rId47"/>
    <sheet name="5.6. sz. mell" sheetId="29" r:id="rId48"/>
    <sheet name="5.6.a. sz. mell" sheetId="93" r:id="rId49"/>
    <sheet name="5.6.b. sz." sheetId="94" r:id="rId50"/>
    <sheet name="5.6.c. sz. mell" sheetId="95" r:id="rId51"/>
    <sheet name="5.7. sz. mell." sheetId="30" r:id="rId52"/>
    <sheet name="5.7.a. sz. mell." sheetId="90" r:id="rId53"/>
    <sheet name="5.7.b. sz. mell." sheetId="91" r:id="rId54"/>
    <sheet name="5.7.c. sz. mell. " sheetId="92" r:id="rId55"/>
    <sheet name="5.8. sz. mell." sheetId="31" r:id="rId56"/>
    <sheet name="5.8.a. sz. mell." sheetId="87" r:id="rId57"/>
    <sheet name="5.8.b. sz. mell." sheetId="88" r:id="rId58"/>
    <sheet name="5.8.c. sz. mell." sheetId="89" r:id="rId59"/>
    <sheet name="5.9. sz. mell." sheetId="34" r:id="rId60"/>
    <sheet name="5.9.a. sz. mell" sheetId="84" r:id="rId61"/>
    <sheet name="5.9.b. sz. mell." sheetId="85" r:id="rId62"/>
    <sheet name="5.9.c. sz. mell." sheetId="86" r:id="rId63"/>
    <sheet name="5.10 sz. mell " sheetId="36" r:id="rId64"/>
    <sheet name="5.10.a.sz. mell" sheetId="81" r:id="rId65"/>
    <sheet name="5.10.b. sz. mell" sheetId="82" r:id="rId66"/>
    <sheet name="5.10.c.sz. mell" sheetId="83" r:id="rId67"/>
    <sheet name="5.10.1. sz. mell." sheetId="37" r:id="rId68"/>
    <sheet name="6.1.sz.mell. " sheetId="57" r:id="rId69"/>
    <sheet name="6.2.sz.mell." sheetId="58" r:id="rId70"/>
    <sheet name="7.1. sz mell." sheetId="40" r:id="rId71"/>
    <sheet name="7.2.. sz mell." sheetId="41" r:id="rId72"/>
    <sheet name="8.1.sz.mell." sheetId="42" r:id="rId73"/>
    <sheet name="8.2.sz.mell." sheetId="43" r:id="rId74"/>
    <sheet name="8.3.sz.mell." sheetId="44" r:id="rId75"/>
    <sheet name="9. sz. mell " sheetId="78" r:id="rId76"/>
    <sheet name="9.1. sz mell" sheetId="66" r:id="rId77"/>
    <sheet name="10.sz. mell." sheetId="76" r:id="rId78"/>
    <sheet name="11.sz.mell." sheetId="68" r:id="rId79"/>
    <sheet name="12. sz. mell." sheetId="48" r:id="rId80"/>
    <sheet name="13. sz. mell." sheetId="137" r:id="rId81"/>
    <sheet name="14.sz.mell" sheetId="77" r:id="rId82"/>
    <sheet name="15. sz. melléklet" sheetId="138" r:id="rId83"/>
    <sheet name="16. sz. mell." sheetId="52" r:id="rId84"/>
    <sheet name="Munka1" sheetId="55" r:id="rId85"/>
    <sheet name="Munka3" sheetId="79" r:id="rId86"/>
    <sheet name="Munka4" sheetId="80" r:id="rId87"/>
    <sheet name="Munka2" sheetId="56" r:id="rId88"/>
    <sheet name="." sheetId="18" r:id="rId89"/>
    <sheet name=".." sheetId="19" r:id="rId90"/>
    <sheet name="..." sheetId="20" r:id="rId91"/>
    <sheet name=".-" sheetId="21" r:id="rId92"/>
    <sheet name=".-." sheetId="22" r:id="rId93"/>
    <sheet name="," sheetId="23" r:id="rId94"/>
    <sheet name="....." sheetId="32" r:id="rId95"/>
    <sheet name="...." sheetId="33" r:id="rId96"/>
    <sheet name="........" sheetId="12" r:id="rId97"/>
    <sheet name="---" sheetId="10" r:id="rId98"/>
  </sheets>
  <definedNames>
    <definedName name="_4._sz._sor_részletezése" localSheetId="77">#REF!</definedName>
    <definedName name="_4._sz._sor_részletezése" localSheetId="78">#REF!</definedName>
    <definedName name="_4._sz._sor_részletezése" localSheetId="81">#REF!</definedName>
    <definedName name="_4._sz._sor_részletezése" localSheetId="3">#REF!</definedName>
    <definedName name="_4._sz._sor_részletezése" localSheetId="4">#REF!</definedName>
    <definedName name="_4._sz._sor_részletezése" localSheetId="5">#REF!</definedName>
    <definedName name="_4._sz._sor_részletezése" localSheetId="6">#REF!</definedName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 localSheetId="15">#REF!</definedName>
    <definedName name="_4._sz._sor_részletezése" localSheetId="14">#REF!</definedName>
    <definedName name="_4._sz._sor_részletezése" localSheetId="16">#REF!</definedName>
    <definedName name="_4._sz._sor_részletezése" localSheetId="28">#REF!</definedName>
    <definedName name="_4._sz._sor_részletezése" localSheetId="29">#REF!</definedName>
    <definedName name="_4._sz._sor_részletezése" localSheetId="30">#REF!</definedName>
    <definedName name="_4._sz._sor_részletezése" localSheetId="64">#REF!</definedName>
    <definedName name="_4._sz._sor_részletezése" localSheetId="65">#REF!</definedName>
    <definedName name="_4._sz._sor_részletezése" localSheetId="66">#REF!</definedName>
    <definedName name="_4._sz._sor_részletezése" localSheetId="32">#REF!</definedName>
    <definedName name="_4._sz._sor_részletezése" localSheetId="33">#REF!</definedName>
    <definedName name="_4._sz._sor_részletezése" localSheetId="34">#REF!</definedName>
    <definedName name="_4._sz._sor_részletezése" localSheetId="37">#REF!</definedName>
    <definedName name="_4._sz._sor_részletezése" localSheetId="36">#REF!</definedName>
    <definedName name="_4._sz._sor_részletezése" localSheetId="38">#REF!</definedName>
    <definedName name="_4._sz._sor_részletezése" localSheetId="40">#REF!</definedName>
    <definedName name="_4._sz._sor_részletezése" localSheetId="41">#REF!</definedName>
    <definedName name="_4._sz._sor_részletezése" localSheetId="42">#REF!</definedName>
    <definedName name="_4._sz._sor_részletezése" localSheetId="44">#REF!</definedName>
    <definedName name="_4._sz._sor_részletezése" localSheetId="45">#REF!</definedName>
    <definedName name="_4._sz._sor_részletezése" localSheetId="46">#REF!</definedName>
    <definedName name="_4._sz._sor_részletezése" localSheetId="48">#REF!</definedName>
    <definedName name="_4._sz._sor_részletezése" localSheetId="49">#REF!</definedName>
    <definedName name="_4._sz._sor_részletezése" localSheetId="50">#REF!</definedName>
    <definedName name="_4._sz._sor_részletezése" localSheetId="52">#REF!</definedName>
    <definedName name="_4._sz._sor_részletezése" localSheetId="53">#REF!</definedName>
    <definedName name="_4._sz._sor_részletezése" localSheetId="54">#REF!</definedName>
    <definedName name="_4._sz._sor_részletezése" localSheetId="56">#REF!</definedName>
    <definedName name="_4._sz._sor_részletezése" localSheetId="57">#REF!</definedName>
    <definedName name="_4._sz._sor_részletezése" localSheetId="58">#REF!</definedName>
    <definedName name="_4._sz._sor_részletezése" localSheetId="60">#REF!</definedName>
    <definedName name="_4._sz._sor_részletezése" localSheetId="61">#REF!</definedName>
    <definedName name="_4._sz._sor_részletezése" localSheetId="62">#REF!</definedName>
    <definedName name="_4._sz._sor_részletezése" localSheetId="24">#REF!</definedName>
    <definedName name="_4._sz._sor_részletezése" localSheetId="25">#REF!</definedName>
    <definedName name="_4._sz._sor_részletezése" localSheetId="26">#REF!</definedName>
    <definedName name="_4._sz._sor_részletezése">#REF!</definedName>
    <definedName name="_4._sz._sor_részletezése_47" localSheetId="78">#REF!</definedName>
    <definedName name="_4._sz._sor_részletezése_47" localSheetId="81">#REF!</definedName>
    <definedName name="_4._sz._sor_részletezése_47" localSheetId="3">#REF!</definedName>
    <definedName name="_4._sz._sor_részletezése_47" localSheetId="4">#REF!</definedName>
    <definedName name="_4._sz._sor_részletezése_47" localSheetId="5">#REF!</definedName>
    <definedName name="_4._sz._sor_részletezése_47" localSheetId="6">#REF!</definedName>
    <definedName name="_4._sz._sor_részletezése_47" localSheetId="8">#REF!</definedName>
    <definedName name="_4._sz._sor_részletezése_47" localSheetId="9">#REF!</definedName>
    <definedName name="_4._sz._sor_részletezése_47" localSheetId="10">#REF!</definedName>
    <definedName name="_4._sz._sor_részletezése_47" localSheetId="15">#REF!</definedName>
    <definedName name="_4._sz._sor_részletezése_47" localSheetId="14">#REF!</definedName>
    <definedName name="_4._sz._sor_részletezése_47" localSheetId="16">#REF!</definedName>
    <definedName name="_4._sz._sor_részletezése_47" localSheetId="28">#REF!</definedName>
    <definedName name="_4._sz._sor_részletezése_47" localSheetId="29">#REF!</definedName>
    <definedName name="_4._sz._sor_részletezése_47" localSheetId="30">#REF!</definedName>
    <definedName name="_4._sz._sor_részletezése_47" localSheetId="64">#REF!</definedName>
    <definedName name="_4._sz._sor_részletezése_47" localSheetId="65">#REF!</definedName>
    <definedName name="_4._sz._sor_részletezése_47" localSheetId="66">#REF!</definedName>
    <definedName name="_4._sz._sor_részletezése_47" localSheetId="32">#REF!</definedName>
    <definedName name="_4._sz._sor_részletezése_47" localSheetId="33">#REF!</definedName>
    <definedName name="_4._sz._sor_részletezése_47" localSheetId="34">#REF!</definedName>
    <definedName name="_4._sz._sor_részletezése_47" localSheetId="37">#REF!</definedName>
    <definedName name="_4._sz._sor_részletezése_47" localSheetId="36">#REF!</definedName>
    <definedName name="_4._sz._sor_részletezése_47" localSheetId="38">#REF!</definedName>
    <definedName name="_4._sz._sor_részletezése_47" localSheetId="40">#REF!</definedName>
    <definedName name="_4._sz._sor_részletezése_47" localSheetId="41">#REF!</definedName>
    <definedName name="_4._sz._sor_részletezése_47" localSheetId="42">#REF!</definedName>
    <definedName name="_4._sz._sor_részletezése_47" localSheetId="44">#REF!</definedName>
    <definedName name="_4._sz._sor_részletezése_47" localSheetId="45">#REF!</definedName>
    <definedName name="_4._sz._sor_részletezése_47" localSheetId="46">#REF!</definedName>
    <definedName name="_4._sz._sor_részletezése_47" localSheetId="48">#REF!</definedName>
    <definedName name="_4._sz._sor_részletezése_47" localSheetId="49">#REF!</definedName>
    <definedName name="_4._sz._sor_részletezése_47" localSheetId="50">#REF!</definedName>
    <definedName name="_4._sz._sor_részletezése_47" localSheetId="52">#REF!</definedName>
    <definedName name="_4._sz._sor_részletezése_47" localSheetId="53">#REF!</definedName>
    <definedName name="_4._sz._sor_részletezése_47" localSheetId="54">#REF!</definedName>
    <definedName name="_4._sz._sor_részletezése_47" localSheetId="56">#REF!</definedName>
    <definedName name="_4._sz._sor_részletezése_47" localSheetId="57">#REF!</definedName>
    <definedName name="_4._sz._sor_részletezése_47" localSheetId="58">#REF!</definedName>
    <definedName name="_4._sz._sor_részletezése_47" localSheetId="60">#REF!</definedName>
    <definedName name="_4._sz._sor_részletezése_47" localSheetId="61">#REF!</definedName>
    <definedName name="_4._sz._sor_részletezése_47" localSheetId="62">#REF!</definedName>
    <definedName name="_4._sz._sor_részletezése_47" localSheetId="24">#REF!</definedName>
    <definedName name="_4._sz._sor_részletezése_47" localSheetId="25">#REF!</definedName>
    <definedName name="_4._sz._sor_részletezése_47" localSheetId="26">#REF!</definedName>
    <definedName name="_4._sz._sor_részletezése_47">#REF!</definedName>
    <definedName name="mell13" localSheetId="81">#REF!</definedName>
    <definedName name="mell13" localSheetId="3">#REF!</definedName>
    <definedName name="mell13" localSheetId="4">#REF!</definedName>
    <definedName name="mell13" localSheetId="5">#REF!</definedName>
    <definedName name="mell13" localSheetId="6">#REF!</definedName>
    <definedName name="mell13" localSheetId="8">#REF!</definedName>
    <definedName name="mell13" localSheetId="9">#REF!</definedName>
    <definedName name="mell13" localSheetId="10">#REF!</definedName>
    <definedName name="mell13" localSheetId="15">#REF!</definedName>
    <definedName name="mell13" localSheetId="14">#REF!</definedName>
    <definedName name="mell13" localSheetId="16">#REF!</definedName>
    <definedName name="mell13" localSheetId="28">#REF!</definedName>
    <definedName name="mell13" localSheetId="29">#REF!</definedName>
    <definedName name="mell13" localSheetId="30">#REF!</definedName>
    <definedName name="mell13" localSheetId="64">#REF!</definedName>
    <definedName name="mell13" localSheetId="65">#REF!</definedName>
    <definedName name="mell13" localSheetId="66">#REF!</definedName>
    <definedName name="mell13" localSheetId="32">#REF!</definedName>
    <definedName name="mell13" localSheetId="33">#REF!</definedName>
    <definedName name="mell13" localSheetId="34">#REF!</definedName>
    <definedName name="mell13" localSheetId="37">#REF!</definedName>
    <definedName name="mell13" localSheetId="36">#REF!</definedName>
    <definedName name="mell13" localSheetId="38">#REF!</definedName>
    <definedName name="mell13" localSheetId="40">#REF!</definedName>
    <definedName name="mell13" localSheetId="41">#REF!</definedName>
    <definedName name="mell13" localSheetId="42">#REF!</definedName>
    <definedName name="mell13" localSheetId="44">#REF!</definedName>
    <definedName name="mell13" localSheetId="45">#REF!</definedName>
    <definedName name="mell13" localSheetId="46">#REF!</definedName>
    <definedName name="mell13" localSheetId="48">#REF!</definedName>
    <definedName name="mell13" localSheetId="49">#REF!</definedName>
    <definedName name="mell13" localSheetId="50">#REF!</definedName>
    <definedName name="mell13" localSheetId="52">#REF!</definedName>
    <definedName name="mell13" localSheetId="53">#REF!</definedName>
    <definedName name="mell13" localSheetId="54">#REF!</definedName>
    <definedName name="mell13" localSheetId="56">#REF!</definedName>
    <definedName name="mell13" localSheetId="57">#REF!</definedName>
    <definedName name="mell13" localSheetId="58">#REF!</definedName>
    <definedName name="mell13" localSheetId="60">#REF!</definedName>
    <definedName name="mell13" localSheetId="61">#REF!</definedName>
    <definedName name="mell13" localSheetId="62">#REF!</definedName>
    <definedName name="mell13" localSheetId="24">#REF!</definedName>
    <definedName name="mell13" localSheetId="25">#REF!</definedName>
    <definedName name="mell13" localSheetId="26">#REF!</definedName>
    <definedName name="mell13">#REF!</definedName>
    <definedName name="melléklet" localSheetId="3">#REF!</definedName>
    <definedName name="melléklet" localSheetId="4">#REF!</definedName>
    <definedName name="melléklet" localSheetId="5">#REF!</definedName>
    <definedName name="melléklet" localSheetId="6">#REF!</definedName>
    <definedName name="melléklet" localSheetId="8">#REF!</definedName>
    <definedName name="melléklet" localSheetId="9">#REF!</definedName>
    <definedName name="melléklet" localSheetId="10">#REF!</definedName>
    <definedName name="melléklet" localSheetId="15">#REF!</definedName>
    <definedName name="melléklet" localSheetId="14">#REF!</definedName>
    <definedName name="melléklet" localSheetId="16">#REF!</definedName>
    <definedName name="melléklet" localSheetId="28">#REF!</definedName>
    <definedName name="melléklet" localSheetId="29">#REF!</definedName>
    <definedName name="melléklet" localSheetId="30">#REF!</definedName>
    <definedName name="melléklet" localSheetId="64">#REF!</definedName>
    <definedName name="melléklet" localSheetId="65">#REF!</definedName>
    <definedName name="melléklet" localSheetId="66">#REF!</definedName>
    <definedName name="melléklet" localSheetId="32">#REF!</definedName>
    <definedName name="melléklet" localSheetId="33">#REF!</definedName>
    <definedName name="melléklet" localSheetId="34">#REF!</definedName>
    <definedName name="melléklet" localSheetId="37">#REF!</definedName>
    <definedName name="melléklet" localSheetId="36">#REF!</definedName>
    <definedName name="melléklet" localSheetId="38">#REF!</definedName>
    <definedName name="melléklet" localSheetId="40">#REF!</definedName>
    <definedName name="melléklet" localSheetId="41">#REF!</definedName>
    <definedName name="melléklet" localSheetId="42">#REF!</definedName>
    <definedName name="melléklet" localSheetId="44">#REF!</definedName>
    <definedName name="melléklet" localSheetId="45">#REF!</definedName>
    <definedName name="melléklet" localSheetId="46">#REF!</definedName>
    <definedName name="melléklet" localSheetId="48">#REF!</definedName>
    <definedName name="melléklet" localSheetId="49">#REF!</definedName>
    <definedName name="melléklet" localSheetId="50">#REF!</definedName>
    <definedName name="melléklet" localSheetId="52">#REF!</definedName>
    <definedName name="melléklet" localSheetId="53">#REF!</definedName>
    <definedName name="melléklet" localSheetId="54">#REF!</definedName>
    <definedName name="melléklet" localSheetId="56">#REF!</definedName>
    <definedName name="melléklet" localSheetId="57">#REF!</definedName>
    <definedName name="melléklet" localSheetId="58">#REF!</definedName>
    <definedName name="melléklet" localSheetId="60">#REF!</definedName>
    <definedName name="melléklet" localSheetId="61">#REF!</definedName>
    <definedName name="melléklet" localSheetId="62">#REF!</definedName>
    <definedName name="melléklet" localSheetId="24">#REF!</definedName>
    <definedName name="melléklet" localSheetId="25">#REF!</definedName>
    <definedName name="melléklet" localSheetId="26">#REF!</definedName>
    <definedName name="melléklet">#REF!</definedName>
    <definedName name="_xlnm.Print_Titles" localSheetId="97">'---'!$1:$6</definedName>
    <definedName name="_xlnm.Print_Titles" localSheetId="93">','!$1:$6</definedName>
    <definedName name="_xlnm.Print_Titles" localSheetId="88">'.'!$1:$6</definedName>
    <definedName name="_xlnm.Print_Titles" localSheetId="91">'.-'!$1:$6</definedName>
    <definedName name="_xlnm.Print_Titles" localSheetId="89">'..'!$1:$6</definedName>
    <definedName name="_xlnm.Print_Titles" localSheetId="92">'.-.'!$1:$6</definedName>
    <definedName name="_xlnm.Print_Titles" localSheetId="90">'...'!$1:$6</definedName>
    <definedName name="_xlnm.Print_Titles" localSheetId="95">'....'!$1:$1</definedName>
    <definedName name="_xlnm.Print_Titles" localSheetId="94">'.....'!$1:$6</definedName>
    <definedName name="_xlnm.Print_Titles" localSheetId="96">'........'!$1:$6</definedName>
    <definedName name="_xlnm.Print_Titles" localSheetId="3">'2. sz. mell'!$1:$5</definedName>
    <definedName name="_xlnm.Print_Titles" localSheetId="4">'2.a sz. mell'!$1:$5</definedName>
    <definedName name="_xlnm.Print_Titles" localSheetId="5">'2.b sz. mell'!$1:$5</definedName>
    <definedName name="_xlnm.Print_Titles" localSheetId="6">'2.c sz. mell '!$1:$5</definedName>
    <definedName name="_xlnm.Print_Titles" localSheetId="8">'3. a. sz. mell'!$1:$5</definedName>
    <definedName name="_xlnm.Print_Titles" localSheetId="7">'3. sz. mell'!$1:$5</definedName>
    <definedName name="_xlnm.Print_Titles" localSheetId="11">'3.1.asz.melléklet'!$1:$1</definedName>
    <definedName name="_xlnm.Print_Titles" localSheetId="12">'3.2.sz.melléklet'!$1:$1</definedName>
    <definedName name="_xlnm.Print_Titles" localSheetId="9">'3.b. sz. mell'!$1:$5</definedName>
    <definedName name="_xlnm.Print_Titles" localSheetId="10">'3.c. sz. mell '!$1:$5</definedName>
    <definedName name="_xlnm.Print_Titles" localSheetId="15">'4. b.sz. mell.'!$1:$6</definedName>
    <definedName name="_xlnm.Print_Titles" localSheetId="13">'4. sz. mell.'!$1:$6</definedName>
    <definedName name="_xlnm.Print_Titles" localSheetId="17">'4.1 sz. mell'!$1:$6</definedName>
    <definedName name="_xlnm.Print_Titles" localSheetId="18">'4.2 sz. mell'!$1:$6</definedName>
    <definedName name="_xlnm.Print_Titles" localSheetId="19">'4.3.sz. mell. '!$1:$6</definedName>
    <definedName name="_xlnm.Print_Titles" localSheetId="20">'4.4 sz. mell.'!$1:$6</definedName>
    <definedName name="_xlnm.Print_Titles" localSheetId="21">'4.5.sz. mell.'!$1:$6</definedName>
    <definedName name="_xlnm.Print_Titles" localSheetId="22">'4.6.sz. mell.'!$1:$6</definedName>
    <definedName name="_xlnm.Print_Titles" localSheetId="14">'4.a. sz. mell.'!$1:$6</definedName>
    <definedName name="_xlnm.Print_Titles" localSheetId="16">'4.c. sz. mell.'!$1:$6</definedName>
    <definedName name="_xlnm.Print_Titles" localSheetId="23">'5. sz. mell. '!$1:$6</definedName>
    <definedName name="_xlnm.Print_Titles" localSheetId="27">'5.1. sz. mell. '!$1:$6</definedName>
    <definedName name="_xlnm.Print_Titles" localSheetId="28">'5.1.a. sz. mell.'!$1:$6</definedName>
    <definedName name="_xlnm.Print_Titles" localSheetId="29">'5.1.b. sz. mell.'!$1:$6</definedName>
    <definedName name="_xlnm.Print_Titles" localSheetId="30">'5.1.c. sz. mell.'!$1:$6</definedName>
    <definedName name="_xlnm.Print_Titles" localSheetId="63">'5.10 sz. mell '!$1:$6</definedName>
    <definedName name="_xlnm.Print_Titles" localSheetId="67">'5.10.1. sz. mell.'!$1:$1</definedName>
    <definedName name="_xlnm.Print_Titles" localSheetId="64">'5.10.a.sz. mell'!$1:$6</definedName>
    <definedName name="_xlnm.Print_Titles" localSheetId="65">'5.10.b. sz. mell'!$1:$6</definedName>
    <definedName name="_xlnm.Print_Titles" localSheetId="66">'5.10.c.sz. mell'!$1:$6</definedName>
    <definedName name="_xlnm.Print_Titles" localSheetId="31">'5.2. sz. mell.  '!$1:$6</definedName>
    <definedName name="_xlnm.Print_Titles" localSheetId="32">'5.2.a. sz. mell.'!$1:$6</definedName>
    <definedName name="_xlnm.Print_Titles" localSheetId="33">'5.2.b. sz. mell'!$1:$6</definedName>
    <definedName name="_xlnm.Print_Titles" localSheetId="34">'5.2.c. sz. mell.'!$1:$6</definedName>
    <definedName name="_xlnm.Print_Titles" localSheetId="37">'5.3 b. sz. mell'!$1:$6</definedName>
    <definedName name="_xlnm.Print_Titles" localSheetId="35">'5.3 sz. mell'!$1:$6</definedName>
    <definedName name="_xlnm.Print_Titles" localSheetId="36">'5.3.a. sz. mell'!$1:$6</definedName>
    <definedName name="_xlnm.Print_Titles" localSheetId="38">'5.3.c. sz. mell'!$1:$6</definedName>
    <definedName name="_xlnm.Print_Titles" localSheetId="39">'5.4. sz mell'!$1:$6</definedName>
    <definedName name="_xlnm.Print_Titles" localSheetId="40">'5.4.a. sz mell'!$1:$6</definedName>
    <definedName name="_xlnm.Print_Titles" localSheetId="41">'5.4.b. sz mell'!$1:$6</definedName>
    <definedName name="_xlnm.Print_Titles" localSheetId="42">'5.4.c. sz mell'!$1:$6</definedName>
    <definedName name="_xlnm.Print_Titles" localSheetId="43">'5.5. sz. mell.  '!$1:$6</definedName>
    <definedName name="_xlnm.Print_Titles" localSheetId="44">'5.5.a. sz. mell.'!$1:$6</definedName>
    <definedName name="_xlnm.Print_Titles" localSheetId="45">'5.5.b.sz. mell'!$1:$6</definedName>
    <definedName name="_xlnm.Print_Titles" localSheetId="46">'5.5.c. sz. mell'!$1:$6</definedName>
    <definedName name="_xlnm.Print_Titles" localSheetId="47">'5.6. sz. mell'!$1:$6</definedName>
    <definedName name="_xlnm.Print_Titles" localSheetId="48">'5.6.a. sz. mell'!$1:$6</definedName>
    <definedName name="_xlnm.Print_Titles" localSheetId="49">'5.6.b. sz.'!$1:$6</definedName>
    <definedName name="_xlnm.Print_Titles" localSheetId="50">'5.6.c. sz. mell'!$1:$6</definedName>
    <definedName name="_xlnm.Print_Titles" localSheetId="51">'5.7. sz. mell.'!$1:$6</definedName>
    <definedName name="_xlnm.Print_Titles" localSheetId="52">'5.7.a. sz. mell.'!$1:$6</definedName>
    <definedName name="_xlnm.Print_Titles" localSheetId="53">'5.7.b. sz. mell.'!$1:$6</definedName>
    <definedName name="_xlnm.Print_Titles" localSheetId="54">'5.7.c. sz. mell. '!$1:$6</definedName>
    <definedName name="_xlnm.Print_Titles" localSheetId="55">'5.8. sz. mell.'!$1:$6</definedName>
    <definedName name="_xlnm.Print_Titles" localSheetId="56">'5.8.a. sz. mell.'!$1:$6</definedName>
    <definedName name="_xlnm.Print_Titles" localSheetId="57">'5.8.b. sz. mell.'!$1:$6</definedName>
    <definedName name="_xlnm.Print_Titles" localSheetId="58">'5.8.c. sz. mell.'!$1:$6</definedName>
    <definedName name="_xlnm.Print_Titles" localSheetId="59">'5.9. sz. mell.'!$1:$6</definedName>
    <definedName name="_xlnm.Print_Titles" localSheetId="60">'5.9.a. sz. mell'!$1:$6</definedName>
    <definedName name="_xlnm.Print_Titles" localSheetId="61">'5.9.b. sz. mell.'!$1:$6</definedName>
    <definedName name="_xlnm.Print_Titles" localSheetId="62">'5.9.c. sz. mell.'!$1:$6</definedName>
    <definedName name="_xlnm.Print_Titles" localSheetId="24">'5.a sz. mell. '!$1:$6</definedName>
    <definedName name="_xlnm.Print_Titles" localSheetId="25">'5.b. sz. mell.'!$1:$6</definedName>
    <definedName name="_xlnm.Print_Titles" localSheetId="26">'5.c sz. mell.'!$1:$6</definedName>
    <definedName name="_xlnm.Print_Titles" localSheetId="69">'6.2.sz.mell.'!$1:$2</definedName>
    <definedName name="_xlnm.Print_Titles" localSheetId="70">'7.1. sz mell.'!$1:$1</definedName>
    <definedName name="_xlnm.Print_Titles" localSheetId="71">'7.2.. sz mell.'!$1:$1</definedName>
    <definedName name="_xlnm.Print_Titles" localSheetId="75">'9. sz. mell '!$1:$2</definedName>
    <definedName name="_xlnm.Print_Area" localSheetId="97">'---'!$A$1:$G$49</definedName>
    <definedName name="_xlnm.Print_Area" localSheetId="93">','!$A$1:$G$48</definedName>
    <definedName name="_xlnm.Print_Area" localSheetId="88">'.'!$A$1:$G$53</definedName>
    <definedName name="_xlnm.Print_Area" localSheetId="91">'.-'!$A$1:$G$48</definedName>
    <definedName name="_xlnm.Print_Area" localSheetId="89">'..'!$A$1:$G$48</definedName>
    <definedName name="_xlnm.Print_Area" localSheetId="92">'.-.'!$A$1:$G$48</definedName>
    <definedName name="_xlnm.Print_Area" localSheetId="90">'...'!$A$1:$G$53</definedName>
    <definedName name="_xlnm.Print_Area" localSheetId="95">'....'!$A$1:$H$101</definedName>
    <definedName name="_xlnm.Print_Area" localSheetId="94">'.....'!$A$1:$G$50</definedName>
    <definedName name="_xlnm.Print_Area" localSheetId="96">'........'!$A$1:$G$49</definedName>
    <definedName name="_xlnm.Print_Area" localSheetId="1">'1.1.sz.mell  '!$A$1:$I$28</definedName>
    <definedName name="_xlnm.Print_Area" localSheetId="2">'1.2.sz.mell  '!$A$1:$I$28</definedName>
    <definedName name="_xlnm.Print_Area" localSheetId="0">'1.sz.mell.'!$A$1:$E$145</definedName>
    <definedName name="_xlnm.Print_Area" localSheetId="77">'10.sz. mell.'!$A$1:$I$29</definedName>
    <definedName name="_xlnm.Print_Area" localSheetId="83">'16. sz. mell.'!$A$1:$D$66</definedName>
    <definedName name="_xlnm.Print_Area" localSheetId="3">'2. sz. mell'!$A$1:$F$81</definedName>
    <definedName name="_xlnm.Print_Area" localSheetId="4">'2.a sz. mell'!$A$1:$F$81</definedName>
    <definedName name="_xlnm.Print_Area" localSheetId="5">'2.b sz. mell'!$A$1:$F$81</definedName>
    <definedName name="_xlnm.Print_Area" localSheetId="6">'2.c sz. mell '!$A$1:$F$81</definedName>
    <definedName name="_xlnm.Print_Area" localSheetId="8">'3. a. sz. mell'!$A$1:$F$76</definedName>
    <definedName name="_xlnm.Print_Area" localSheetId="7">'3. sz. mell'!$A$1:$F$76</definedName>
    <definedName name="_xlnm.Print_Area" localSheetId="11">'3.1.asz.melléklet'!$A$1:$H$166</definedName>
    <definedName name="_xlnm.Print_Area" localSheetId="12">'3.2.sz.melléklet'!$A$1:$H$233</definedName>
    <definedName name="_xlnm.Print_Area" localSheetId="9">'3.b. sz. mell'!$A$1:$F$76</definedName>
    <definedName name="_xlnm.Print_Area" localSheetId="10">'3.c. sz. mell '!$A$1:$F$76</definedName>
    <definedName name="_xlnm.Print_Area" localSheetId="15">'4. b.sz. mell.'!$A$1:$G$62</definedName>
    <definedName name="_xlnm.Print_Area" localSheetId="13">'4. sz. mell.'!$A$1:$G$64</definedName>
    <definedName name="_xlnm.Print_Area" localSheetId="17">'4.1 sz. mell'!$A$1:$G$62</definedName>
    <definedName name="_xlnm.Print_Area" localSheetId="18">'4.2 sz. mell'!$A$1:$G$60</definedName>
    <definedName name="_xlnm.Print_Area" localSheetId="19">'4.3.sz. mell. '!$A$1:$G$60</definedName>
    <definedName name="_xlnm.Print_Area" localSheetId="20">'4.4 sz. mell.'!$A$1:$G$61</definedName>
    <definedName name="_xlnm.Print_Area" localSheetId="21">'4.5.sz. mell.'!$A$1:$G$61</definedName>
    <definedName name="_xlnm.Print_Area" localSheetId="22">'4.6.sz. mell.'!$A$1:$G$61</definedName>
    <definedName name="_xlnm.Print_Area" localSheetId="14">'4.a. sz. mell.'!$A$1:$G$62</definedName>
    <definedName name="_xlnm.Print_Area" localSheetId="16">'4.c. sz. mell.'!$A$1:$G$64</definedName>
    <definedName name="_xlnm.Print_Area" localSheetId="23">'5. sz. mell. '!$A$1:$G$60</definedName>
    <definedName name="_xlnm.Print_Area" localSheetId="27">'5.1. sz. mell. '!$A$1:$G$65</definedName>
    <definedName name="_xlnm.Print_Area" localSheetId="28">'5.1.a. sz. mell.'!$A$1:$G$66</definedName>
    <definedName name="_xlnm.Print_Area" localSheetId="29">'5.1.b. sz. mell.'!$A$1:$G$64</definedName>
    <definedName name="_xlnm.Print_Area" localSheetId="30">'5.1.c. sz. mell.'!$A$1:$G$64</definedName>
    <definedName name="_xlnm.Print_Area" localSheetId="63">'5.10 sz. mell '!$A$1:$G$58</definedName>
    <definedName name="_xlnm.Print_Area" localSheetId="67">'5.10.1. sz. mell.'!$A$1:$L$200</definedName>
    <definedName name="_xlnm.Print_Area" localSheetId="64">'5.10.a.sz. mell'!$A$1:$G$56</definedName>
    <definedName name="_xlnm.Print_Area" localSheetId="65">'5.10.b. sz. mell'!$A$1:$G$56</definedName>
    <definedName name="_xlnm.Print_Area" localSheetId="66">'5.10.c.sz. mell'!$A$1:$G$56</definedName>
    <definedName name="_xlnm.Print_Area" localSheetId="31">'5.2. sz. mell.  '!$A$1:$G$66</definedName>
    <definedName name="_xlnm.Print_Area" localSheetId="32">'5.2.a. sz. mell.'!$A$1:$G$66</definedName>
    <definedName name="_xlnm.Print_Area" localSheetId="33">'5.2.b. sz. mell'!$A$1:$G$64</definedName>
    <definedName name="_xlnm.Print_Area" localSheetId="34">'5.2.c. sz. mell.'!$A$1:$G$64</definedName>
    <definedName name="_xlnm.Print_Area" localSheetId="37">'5.3 b. sz. mell'!$A$1:$G$60</definedName>
    <definedName name="_xlnm.Print_Area" localSheetId="35">'5.3 sz. mell'!$A$1:$G$62</definedName>
    <definedName name="_xlnm.Print_Area" localSheetId="36">'5.3.a. sz. mell'!$A$1:$G$62</definedName>
    <definedName name="_xlnm.Print_Area" localSheetId="38">'5.3.c. sz. mell'!$A$1:$G$60</definedName>
    <definedName name="_xlnm.Print_Area" localSheetId="39">'5.4. sz mell'!$A$1:$G$62</definedName>
    <definedName name="_xlnm.Print_Area" localSheetId="40">'5.4.a. sz mell'!$A$1:$G$62</definedName>
    <definedName name="_xlnm.Print_Area" localSheetId="41">'5.4.b. sz mell'!$A$1:$G$60</definedName>
    <definedName name="_xlnm.Print_Area" localSheetId="42">'5.4.c. sz mell'!$A$1:$G$60</definedName>
    <definedName name="_xlnm.Print_Area" localSheetId="43">'5.5. sz. mell.  '!$A$1:$G$66</definedName>
    <definedName name="_xlnm.Print_Area" localSheetId="44">'5.5.a. sz. mell.'!$A$1:$G$66</definedName>
    <definedName name="_xlnm.Print_Area" localSheetId="45">'5.5.b.sz. mell'!$A$1:$G$64</definedName>
    <definedName name="_xlnm.Print_Area" localSheetId="46">'5.5.c. sz. mell'!$A$1:$G$64</definedName>
    <definedName name="_xlnm.Print_Area" localSheetId="47">'5.6. sz. mell'!$A$1:$G$66</definedName>
    <definedName name="_xlnm.Print_Area" localSheetId="48">'5.6.a. sz. mell'!$A$1:$G$66</definedName>
    <definedName name="_xlnm.Print_Area" localSheetId="49">'5.6.b. sz.'!$A$1:$G$64</definedName>
    <definedName name="_xlnm.Print_Area" localSheetId="50">'5.6.c. sz. mell'!$A$1:$G$64</definedName>
    <definedName name="_xlnm.Print_Area" localSheetId="51">'5.7. sz. mell.'!$A$1:$G$69</definedName>
    <definedName name="_xlnm.Print_Area" localSheetId="52">'5.7.a. sz. mell.'!$A$1:$G$68</definedName>
    <definedName name="_xlnm.Print_Area" localSheetId="53">'5.7.b. sz. mell.'!$A$1:$G$66</definedName>
    <definedName name="_xlnm.Print_Area" localSheetId="54">'5.7.c. sz. mell. '!$A$1:$G$66</definedName>
    <definedName name="_xlnm.Print_Area" localSheetId="55">'5.8. sz. mell.'!$A$1:$G$58</definedName>
    <definedName name="_xlnm.Print_Area" localSheetId="56">'5.8.a. sz. mell.'!$A$1:$G$58</definedName>
    <definedName name="_xlnm.Print_Area" localSheetId="57">'5.8.b. sz. mell.'!$A$1:$G$58</definedName>
    <definedName name="_xlnm.Print_Area" localSheetId="58">'5.8.c. sz. mell.'!$A$1:$G$56</definedName>
    <definedName name="_xlnm.Print_Area" localSheetId="59">'5.9. sz. mell.'!$A$1:$G$58</definedName>
    <definedName name="_xlnm.Print_Area" localSheetId="60">'5.9.a. sz. mell'!$A$1:$G$58</definedName>
    <definedName name="_xlnm.Print_Area" localSheetId="61">'5.9.b. sz. mell.'!$A$1:$G$58</definedName>
    <definedName name="_xlnm.Print_Area" localSheetId="62">'5.9.c. sz. mell.'!$A$1:$G$57</definedName>
    <definedName name="_xlnm.Print_Area" localSheetId="24">'5.a sz. mell. '!$A$1:$G$60</definedName>
    <definedName name="_xlnm.Print_Area" localSheetId="25">'5.b. sz. mell.'!$A$1:$G$60</definedName>
    <definedName name="_xlnm.Print_Area" localSheetId="26">'5.c sz. mell.'!$A$1:$G$57</definedName>
    <definedName name="_xlnm.Print_Area" localSheetId="68">'6.1.sz.mell. '!$A$1:$L$18</definedName>
    <definedName name="_xlnm.Print_Area" localSheetId="69">'6.2.sz.mell.'!$A$1:$L$177</definedName>
    <definedName name="_xlnm.Print_Area" localSheetId="70">'7.1. sz mell.'!$A$1:$J$111</definedName>
    <definedName name="_xlnm.Print_Area" localSheetId="71">'7.2.. sz mell.'!$A$1:$G$37</definedName>
    <definedName name="_xlnm.Print_Area" localSheetId="75">'9. sz. mell '!$A$1:$F$50</definedName>
  </definedNames>
  <calcPr calcId="145621"/>
</workbook>
</file>

<file path=xl/calcChain.xml><?xml version="1.0" encoding="utf-8"?>
<calcChain xmlns="http://schemas.openxmlformats.org/spreadsheetml/2006/main">
  <c r="F17" i="128" l="1"/>
  <c r="F18" i="128"/>
  <c r="F19" i="128"/>
  <c r="F20" i="128"/>
  <c r="F21" i="128"/>
  <c r="F22" i="128"/>
  <c r="F23" i="128"/>
  <c r="F24" i="128"/>
  <c r="F25" i="128"/>
  <c r="F26" i="128"/>
  <c r="F9" i="128"/>
  <c r="F10" i="128"/>
  <c r="F11" i="128"/>
  <c r="F12" i="128"/>
  <c r="F13" i="128"/>
  <c r="F14" i="128"/>
  <c r="F15" i="128"/>
  <c r="F16" i="128"/>
  <c r="F8" i="128"/>
  <c r="F40" i="84"/>
  <c r="F41" i="84"/>
  <c r="F80" i="124"/>
  <c r="E20" i="76" l="1"/>
  <c r="C140" i="131" l="1"/>
  <c r="C138" i="131"/>
  <c r="C118" i="131"/>
  <c r="C77" i="131"/>
  <c r="C79" i="131" s="1"/>
  <c r="C54" i="131"/>
  <c r="C144" i="131"/>
  <c r="D144" i="131"/>
  <c r="D138" i="131"/>
  <c r="D140" i="131" s="1"/>
  <c r="D118" i="131"/>
  <c r="D77" i="131"/>
  <c r="D145" i="131" s="1"/>
  <c r="D54" i="131"/>
  <c r="D79" i="131" l="1"/>
  <c r="F31" i="138"/>
  <c r="F30" i="138"/>
  <c r="F29" i="138"/>
  <c r="F28" i="138"/>
  <c r="F27" i="138"/>
  <c r="F26" i="138"/>
  <c r="F25" i="138"/>
  <c r="E24" i="138"/>
  <c r="D24" i="138"/>
  <c r="C24" i="138"/>
  <c r="F24" i="138" s="1"/>
  <c r="F23" i="138"/>
  <c r="F22" i="138"/>
  <c r="F21" i="138"/>
  <c r="F20" i="138"/>
  <c r="F19" i="138"/>
  <c r="F18" i="138"/>
  <c r="F17" i="138"/>
  <c r="E16" i="138"/>
  <c r="E32" i="138" s="1"/>
  <c r="D16" i="138"/>
  <c r="D32" i="138" s="1"/>
  <c r="C16" i="138"/>
  <c r="C32" i="138" s="1"/>
  <c r="E14" i="138"/>
  <c r="E15" i="138" s="1"/>
  <c r="E33" i="138" s="1"/>
  <c r="D14" i="138"/>
  <c r="D15" i="138" s="1"/>
  <c r="D33" i="138" s="1"/>
  <c r="C14" i="138"/>
  <c r="C15" i="138" s="1"/>
  <c r="F13" i="138"/>
  <c r="F12" i="138"/>
  <c r="F11" i="138"/>
  <c r="F10" i="138"/>
  <c r="F9" i="138"/>
  <c r="F8" i="138"/>
  <c r="F7" i="138"/>
  <c r="D8" i="43"/>
  <c r="D5" i="43"/>
  <c r="N24" i="137"/>
  <c r="M24" i="137"/>
  <c r="L24" i="137"/>
  <c r="K24" i="137"/>
  <c r="J24" i="137"/>
  <c r="I24" i="137"/>
  <c r="H24" i="137"/>
  <c r="G24" i="137"/>
  <c r="F24" i="137"/>
  <c r="E24" i="137"/>
  <c r="D24" i="137"/>
  <c r="C24" i="137"/>
  <c r="O23" i="137"/>
  <c r="O22" i="137"/>
  <c r="O21" i="137"/>
  <c r="O20" i="137"/>
  <c r="O19" i="137"/>
  <c r="O18" i="137"/>
  <c r="O17" i="137"/>
  <c r="O16" i="137"/>
  <c r="O15" i="137"/>
  <c r="N13" i="137"/>
  <c r="M13" i="137"/>
  <c r="L13" i="137"/>
  <c r="K13" i="137"/>
  <c r="J13" i="137"/>
  <c r="I13" i="137"/>
  <c r="H13" i="137"/>
  <c r="G13" i="137"/>
  <c r="F13" i="137"/>
  <c r="E13" i="137"/>
  <c r="D13" i="137"/>
  <c r="C13" i="137"/>
  <c r="O12" i="137"/>
  <c r="O11" i="137"/>
  <c r="O10" i="137"/>
  <c r="O9" i="137"/>
  <c r="O8" i="137"/>
  <c r="O7" i="137"/>
  <c r="O6" i="137"/>
  <c r="O5" i="137"/>
  <c r="F10" i="77"/>
  <c r="G10" i="77"/>
  <c r="H10" i="77"/>
  <c r="D7" i="76"/>
  <c r="E7" i="76"/>
  <c r="F14" i="138" l="1"/>
  <c r="C33" i="138"/>
  <c r="F33" i="138" s="1"/>
  <c r="F15" i="138"/>
  <c r="F32" i="138"/>
  <c r="F16" i="138"/>
  <c r="E25" i="137"/>
  <c r="G25" i="137"/>
  <c r="I25" i="137"/>
  <c r="K25" i="137"/>
  <c r="M25" i="137"/>
  <c r="C25" i="137"/>
  <c r="D25" i="137"/>
  <c r="F25" i="137"/>
  <c r="H25" i="137"/>
  <c r="J25" i="137"/>
  <c r="L25" i="137"/>
  <c r="N25" i="137"/>
  <c r="O24" i="137"/>
  <c r="O13" i="137"/>
  <c r="F44" i="124"/>
  <c r="F39" i="5"/>
  <c r="G13" i="7"/>
  <c r="G21" i="7"/>
  <c r="O25" i="137" l="1"/>
  <c r="K9" i="124"/>
  <c r="K10" i="124"/>
  <c r="K11" i="124"/>
  <c r="K12" i="124"/>
  <c r="K13" i="124"/>
  <c r="K14" i="124"/>
  <c r="K15" i="124"/>
  <c r="K34" i="124"/>
  <c r="K39" i="124"/>
  <c r="K40" i="124"/>
  <c r="K48" i="124"/>
  <c r="K49" i="124"/>
  <c r="K50" i="124"/>
  <c r="K51" i="124"/>
  <c r="K52" i="124"/>
  <c r="K53" i="124"/>
  <c r="K54" i="124"/>
  <c r="K55" i="124"/>
  <c r="K63" i="124"/>
  <c r="K64" i="124"/>
  <c r="K66" i="124"/>
  <c r="K69" i="124"/>
  <c r="K70" i="124"/>
  <c r="K71" i="124"/>
  <c r="K72" i="124"/>
  <c r="K80" i="124"/>
  <c r="K81" i="124"/>
  <c r="K40" i="8"/>
  <c r="K41" i="8"/>
  <c r="M39" i="8"/>
  <c r="F41" i="8"/>
  <c r="F40" i="8"/>
  <c r="F39" i="127"/>
  <c r="F40" i="9"/>
  <c r="F41" i="112"/>
  <c r="F40" i="112"/>
  <c r="J40" i="17" s="1"/>
  <c r="M39" i="17"/>
  <c r="F41" i="113"/>
  <c r="J39" i="113" s="1"/>
  <c r="F41" i="17"/>
  <c r="F40" i="17"/>
  <c r="F40" i="113"/>
  <c r="F41" i="109"/>
  <c r="F41" i="24"/>
  <c r="F41" i="106"/>
  <c r="F41" i="25"/>
  <c r="F39" i="26"/>
  <c r="F39" i="103"/>
  <c r="F39" i="27"/>
  <c r="F39" i="100"/>
  <c r="F43" i="96"/>
  <c r="F43" i="28"/>
  <c r="F43" i="29"/>
  <c r="F43" i="93"/>
  <c r="F43" i="30"/>
  <c r="F43" i="90"/>
  <c r="F39" i="87"/>
  <c r="F39" i="31"/>
  <c r="L40" i="34"/>
  <c r="L41" i="34"/>
  <c r="K41" i="34" s="1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7" i="34"/>
  <c r="K38" i="34"/>
  <c r="K40" i="34"/>
  <c r="K43" i="34"/>
  <c r="K44" i="34"/>
  <c r="K46" i="34"/>
  <c r="K47" i="34"/>
  <c r="K49" i="34"/>
  <c r="K50" i="34"/>
  <c r="K51" i="34"/>
  <c r="K52" i="34"/>
  <c r="K53" i="34"/>
  <c r="K54" i="34"/>
  <c r="K56" i="34"/>
  <c r="K57" i="34"/>
  <c r="K58" i="34"/>
  <c r="F39" i="85"/>
  <c r="F39" i="84"/>
  <c r="F39" i="34"/>
  <c r="J41" i="17" l="1"/>
  <c r="I40" i="17"/>
  <c r="I39" i="112"/>
  <c r="F35" i="134"/>
  <c r="F33" i="134" s="1"/>
  <c r="I9" i="124"/>
  <c r="I10" i="124"/>
  <c r="I11" i="124"/>
  <c r="I12" i="124"/>
  <c r="I13" i="124"/>
  <c r="I14" i="124"/>
  <c r="I15" i="124"/>
  <c r="I34" i="124"/>
  <c r="I39" i="124"/>
  <c r="I40" i="124"/>
  <c r="I50" i="124"/>
  <c r="I51" i="124"/>
  <c r="I52" i="124"/>
  <c r="I53" i="124"/>
  <c r="I54" i="124"/>
  <c r="I55" i="124"/>
  <c r="I63" i="124"/>
  <c r="I64" i="124"/>
  <c r="I66" i="124"/>
  <c r="I69" i="124"/>
  <c r="I70" i="124"/>
  <c r="I71" i="124"/>
  <c r="I72" i="124"/>
  <c r="F74" i="134"/>
  <c r="F78" i="134" s="1"/>
  <c r="F45" i="134"/>
  <c r="F43" i="134"/>
  <c r="F44" i="134"/>
  <c r="F42" i="134"/>
  <c r="F30" i="134"/>
  <c r="K30" i="124" s="1"/>
  <c r="F31" i="134"/>
  <c r="K31" i="124" s="1"/>
  <c r="F29" i="134"/>
  <c r="K29" i="124" s="1"/>
  <c r="F17" i="134"/>
  <c r="K17" i="124" s="1"/>
  <c r="I17" i="124" s="1"/>
  <c r="F18" i="134"/>
  <c r="K18" i="124" s="1"/>
  <c r="I18" i="124" s="1"/>
  <c r="F19" i="134"/>
  <c r="K19" i="124" s="1"/>
  <c r="I19" i="124" s="1"/>
  <c r="F20" i="134"/>
  <c r="K20" i="124" s="1"/>
  <c r="I20" i="124" s="1"/>
  <c r="F21" i="134"/>
  <c r="K21" i="124" s="1"/>
  <c r="I21" i="124" s="1"/>
  <c r="F22" i="134"/>
  <c r="K22" i="124" s="1"/>
  <c r="I22" i="124" s="1"/>
  <c r="F23" i="134"/>
  <c r="K23" i="124" s="1"/>
  <c r="I23" i="124" s="1"/>
  <c r="F24" i="134"/>
  <c r="K24" i="124" s="1"/>
  <c r="I24" i="124" s="1"/>
  <c r="F25" i="134"/>
  <c r="F27" i="134"/>
  <c r="K27" i="124" s="1"/>
  <c r="I27" i="124" s="1"/>
  <c r="F8" i="134"/>
  <c r="F74" i="135"/>
  <c r="F78" i="135" s="1"/>
  <c r="F49" i="135"/>
  <c r="F48" i="135"/>
  <c r="F31" i="135"/>
  <c r="F30" i="135"/>
  <c r="F29" i="135"/>
  <c r="F8" i="135"/>
  <c r="F75" i="136"/>
  <c r="F74" i="136"/>
  <c r="F49" i="136"/>
  <c r="F31" i="136"/>
  <c r="I31" i="124" s="1"/>
  <c r="F8" i="136"/>
  <c r="E80" i="136"/>
  <c r="D80" i="136"/>
  <c r="F76" i="136"/>
  <c r="F78" i="136"/>
  <c r="K78" i="124" s="1"/>
  <c r="E70" i="136"/>
  <c r="G70" i="136" s="1"/>
  <c r="F68" i="136"/>
  <c r="D68" i="136"/>
  <c r="E66" i="136"/>
  <c r="G66" i="136" s="1"/>
  <c r="F65" i="136"/>
  <c r="D58" i="136"/>
  <c r="D57" i="136"/>
  <c r="E53" i="136"/>
  <c r="D53" i="136"/>
  <c r="E42" i="136"/>
  <c r="D42" i="136"/>
  <c r="E38" i="136"/>
  <c r="D38" i="136"/>
  <c r="E26" i="136"/>
  <c r="D26" i="136"/>
  <c r="G25" i="136"/>
  <c r="E23" i="136"/>
  <c r="G23" i="136" s="1"/>
  <c r="D23" i="136"/>
  <c r="G22" i="136"/>
  <c r="E22" i="136"/>
  <c r="D22" i="136"/>
  <c r="E19" i="136"/>
  <c r="G19" i="136" s="1"/>
  <c r="D19" i="136"/>
  <c r="G18" i="136"/>
  <c r="E18" i="136"/>
  <c r="D18" i="136"/>
  <c r="D16" i="136" s="1"/>
  <c r="E16" i="136"/>
  <c r="G12" i="136"/>
  <c r="E12" i="136"/>
  <c r="D12" i="136"/>
  <c r="E11" i="136"/>
  <c r="G11" i="136" s="1"/>
  <c r="D11" i="136"/>
  <c r="G9" i="136"/>
  <c r="E9" i="136"/>
  <c r="D9" i="136"/>
  <c r="D8" i="136" s="1"/>
  <c r="D7" i="136" s="1"/>
  <c r="E8" i="136"/>
  <c r="E7" i="136"/>
  <c r="E80" i="135"/>
  <c r="D80" i="135"/>
  <c r="F76" i="135"/>
  <c r="E70" i="135"/>
  <c r="G70" i="135" s="1"/>
  <c r="F68" i="135"/>
  <c r="G68" i="135" s="1"/>
  <c r="D68" i="135"/>
  <c r="E67" i="135"/>
  <c r="E66" i="135"/>
  <c r="G66" i="135" s="1"/>
  <c r="F65" i="135"/>
  <c r="D58" i="135"/>
  <c r="D57" i="135"/>
  <c r="E53" i="135"/>
  <c r="D53" i="135"/>
  <c r="E42" i="135"/>
  <c r="D42" i="135"/>
  <c r="E38" i="135"/>
  <c r="D38" i="135"/>
  <c r="G30" i="135"/>
  <c r="E26" i="135"/>
  <c r="D26" i="135"/>
  <c r="G25" i="135"/>
  <c r="E23" i="135"/>
  <c r="G23" i="135" s="1"/>
  <c r="D23" i="135"/>
  <c r="G22" i="135"/>
  <c r="E22" i="135"/>
  <c r="D22" i="135"/>
  <c r="E19" i="135"/>
  <c r="G19" i="135" s="1"/>
  <c r="D19" i="135"/>
  <c r="G18" i="135"/>
  <c r="E18" i="135"/>
  <c r="D18" i="135"/>
  <c r="D16" i="135" s="1"/>
  <c r="E16" i="135"/>
  <c r="G12" i="135"/>
  <c r="E12" i="135"/>
  <c r="D12" i="135"/>
  <c r="E11" i="135"/>
  <c r="G11" i="135" s="1"/>
  <c r="D11" i="135"/>
  <c r="G9" i="135"/>
  <c r="E9" i="135"/>
  <c r="D9" i="135"/>
  <c r="D8" i="135" s="1"/>
  <c r="D7" i="135" s="1"/>
  <c r="E8" i="135"/>
  <c r="E7" i="135"/>
  <c r="E80" i="134"/>
  <c r="D80" i="134"/>
  <c r="F76" i="134"/>
  <c r="E70" i="134"/>
  <c r="G70" i="134" s="1"/>
  <c r="F68" i="134"/>
  <c r="G68" i="134" s="1"/>
  <c r="D68" i="134"/>
  <c r="E66" i="134"/>
  <c r="G66" i="134" s="1"/>
  <c r="F65" i="134"/>
  <c r="D58" i="134"/>
  <c r="D57" i="134"/>
  <c r="F56" i="134"/>
  <c r="E53" i="134"/>
  <c r="D53" i="134"/>
  <c r="F46" i="134"/>
  <c r="E42" i="134"/>
  <c r="D42" i="134"/>
  <c r="E38" i="134"/>
  <c r="D38" i="134"/>
  <c r="G30" i="134"/>
  <c r="G29" i="134"/>
  <c r="F28" i="134"/>
  <c r="E26" i="134"/>
  <c r="D26" i="134"/>
  <c r="E23" i="134"/>
  <c r="G23" i="134" s="1"/>
  <c r="D23" i="134"/>
  <c r="G22" i="134"/>
  <c r="E22" i="134"/>
  <c r="D22" i="134"/>
  <c r="D16" i="134" s="1"/>
  <c r="D7" i="134" s="1"/>
  <c r="E19" i="134"/>
  <c r="D19" i="134"/>
  <c r="E18" i="134"/>
  <c r="G18" i="134" s="1"/>
  <c r="D18" i="134"/>
  <c r="E16" i="134"/>
  <c r="E12" i="134"/>
  <c r="G12" i="134" s="1"/>
  <c r="D12" i="134"/>
  <c r="E11" i="134"/>
  <c r="G11" i="134" s="1"/>
  <c r="D11" i="134"/>
  <c r="G9" i="134"/>
  <c r="E9" i="134"/>
  <c r="D9" i="134"/>
  <c r="D8" i="134"/>
  <c r="E49" i="131"/>
  <c r="E13" i="131"/>
  <c r="E44" i="131"/>
  <c r="E67" i="134" l="1"/>
  <c r="E67" i="136"/>
  <c r="K65" i="124"/>
  <c r="G68" i="136"/>
  <c r="K68" i="124"/>
  <c r="K76" i="124"/>
  <c r="K8" i="124"/>
  <c r="I8" i="124" s="1"/>
  <c r="G28" i="134"/>
  <c r="K28" i="124"/>
  <c r="G25" i="134"/>
  <c r="K25" i="124"/>
  <c r="I25" i="124" s="1"/>
  <c r="G42" i="134"/>
  <c r="K74" i="124"/>
  <c r="F37" i="134"/>
  <c r="F41" i="134"/>
  <c r="G19" i="134"/>
  <c r="F46" i="135"/>
  <c r="F28" i="135"/>
  <c r="G29" i="135"/>
  <c r="G8" i="135"/>
  <c r="G8" i="136"/>
  <c r="F67" i="136"/>
  <c r="F73" i="136"/>
  <c r="G28" i="135"/>
  <c r="F67" i="135"/>
  <c r="G67" i="135" s="1"/>
  <c r="G8" i="134"/>
  <c r="E8" i="134"/>
  <c r="E7" i="134" s="1"/>
  <c r="F67" i="134"/>
  <c r="F73" i="134"/>
  <c r="E133" i="131"/>
  <c r="E128" i="131"/>
  <c r="E123" i="131"/>
  <c r="E71" i="131"/>
  <c r="E67" i="131"/>
  <c r="E64" i="131"/>
  <c r="E59" i="131"/>
  <c r="E55" i="131"/>
  <c r="E21" i="131"/>
  <c r="F76" i="128"/>
  <c r="F75" i="128"/>
  <c r="K75" i="5" s="1"/>
  <c r="K8" i="5"/>
  <c r="I8" i="5" s="1"/>
  <c r="K9" i="5"/>
  <c r="I9" i="5" s="1"/>
  <c r="K10" i="5"/>
  <c r="I10" i="5" s="1"/>
  <c r="K11" i="5"/>
  <c r="I11" i="5" s="1"/>
  <c r="K12" i="5"/>
  <c r="I12" i="5" s="1"/>
  <c r="K13" i="5"/>
  <c r="I13" i="5" s="1"/>
  <c r="K14" i="5"/>
  <c r="I14" i="5" s="1"/>
  <c r="K15" i="5"/>
  <c r="I15" i="5" s="1"/>
  <c r="K16" i="5"/>
  <c r="I16" i="5" s="1"/>
  <c r="K17" i="5"/>
  <c r="I17" i="5" s="1"/>
  <c r="K18" i="5"/>
  <c r="I18" i="5" s="1"/>
  <c r="K19" i="5"/>
  <c r="I19" i="5" s="1"/>
  <c r="K20" i="5"/>
  <c r="I20" i="5" s="1"/>
  <c r="K21" i="5"/>
  <c r="I21" i="5" s="1"/>
  <c r="K22" i="5"/>
  <c r="I22" i="5" s="1"/>
  <c r="K23" i="5"/>
  <c r="I23" i="5" s="1"/>
  <c r="K24" i="5"/>
  <c r="I24" i="5" s="1"/>
  <c r="K25" i="5"/>
  <c r="I25" i="5" s="1"/>
  <c r="K26" i="5"/>
  <c r="I26" i="5" s="1"/>
  <c r="K27" i="5"/>
  <c r="I27" i="5" s="1"/>
  <c r="K28" i="5"/>
  <c r="I28" i="5" s="1"/>
  <c r="K29" i="5"/>
  <c r="I29" i="5" s="1"/>
  <c r="K30" i="5"/>
  <c r="I30" i="5" s="1"/>
  <c r="K32" i="5"/>
  <c r="I32" i="5" s="1"/>
  <c r="K34" i="5"/>
  <c r="I34" i="5" s="1"/>
  <c r="K35" i="5"/>
  <c r="I35" i="5" s="1"/>
  <c r="K39" i="5"/>
  <c r="K40" i="5"/>
  <c r="K43" i="5"/>
  <c r="K44" i="5"/>
  <c r="K45" i="5"/>
  <c r="I45" i="5" s="1"/>
  <c r="K46" i="5"/>
  <c r="I46" i="5" s="1"/>
  <c r="K47" i="5"/>
  <c r="I47" i="5" s="1"/>
  <c r="K48" i="5"/>
  <c r="I48" i="5" s="1"/>
  <c r="K49" i="5"/>
  <c r="I49" i="5" s="1"/>
  <c r="K50" i="5"/>
  <c r="I50" i="5" s="1"/>
  <c r="K58" i="5"/>
  <c r="I58" i="5" s="1"/>
  <c r="K59" i="5"/>
  <c r="I59" i="5" s="1"/>
  <c r="K61" i="5"/>
  <c r="I61" i="5" s="1"/>
  <c r="K64" i="5"/>
  <c r="I64" i="5" s="1"/>
  <c r="K65" i="5"/>
  <c r="I65" i="5" s="1"/>
  <c r="K66" i="5"/>
  <c r="I66" i="5" s="1"/>
  <c r="K67" i="5"/>
  <c r="I67" i="5" s="1"/>
  <c r="K69" i="5"/>
  <c r="K76" i="5"/>
  <c r="F27" i="129"/>
  <c r="F41" i="129"/>
  <c r="F36" i="129" s="1"/>
  <c r="F42" i="128"/>
  <c r="F47" i="136" s="1"/>
  <c r="K47" i="124" s="1"/>
  <c r="F37" i="128"/>
  <c r="K37" i="5" s="1"/>
  <c r="E75" i="130"/>
  <c r="D75" i="130"/>
  <c r="F71" i="130"/>
  <c r="F73" i="130"/>
  <c r="E65" i="130"/>
  <c r="G65" i="130" s="1"/>
  <c r="F63" i="130"/>
  <c r="G63" i="130" s="1"/>
  <c r="D63" i="130"/>
  <c r="E61" i="130"/>
  <c r="G61" i="130" s="1"/>
  <c r="F60" i="130"/>
  <c r="F54" i="130"/>
  <c r="F51" i="130" s="1"/>
  <c r="D53" i="130"/>
  <c r="D52" i="130"/>
  <c r="E48" i="130"/>
  <c r="D48" i="130"/>
  <c r="F41" i="130"/>
  <c r="E37" i="130"/>
  <c r="G37" i="130" s="1"/>
  <c r="D37" i="130"/>
  <c r="F36" i="130"/>
  <c r="E33" i="130"/>
  <c r="D33" i="130"/>
  <c r="F31" i="130"/>
  <c r="K31" i="5" s="1"/>
  <c r="I31" i="5" s="1"/>
  <c r="G29" i="130"/>
  <c r="G28" i="130"/>
  <c r="G27" i="130"/>
  <c r="G26" i="130"/>
  <c r="E26" i="130"/>
  <c r="D26" i="130"/>
  <c r="G25" i="130"/>
  <c r="E23" i="130"/>
  <c r="G23" i="130" s="1"/>
  <c r="D23" i="130"/>
  <c r="E22" i="130"/>
  <c r="G22" i="130" s="1"/>
  <c r="D22" i="130"/>
  <c r="E19" i="130"/>
  <c r="G19" i="130" s="1"/>
  <c r="D19" i="130"/>
  <c r="E18" i="130"/>
  <c r="G18" i="130" s="1"/>
  <c r="D18" i="130"/>
  <c r="D16" i="130" s="1"/>
  <c r="E12" i="130"/>
  <c r="G12" i="130" s="1"/>
  <c r="D12" i="130"/>
  <c r="E11" i="130"/>
  <c r="G11" i="130" s="1"/>
  <c r="D11" i="130"/>
  <c r="E9" i="130"/>
  <c r="G9" i="130" s="1"/>
  <c r="D9" i="130"/>
  <c r="E8" i="130"/>
  <c r="G8" i="130" s="1"/>
  <c r="E75" i="129"/>
  <c r="D75" i="129"/>
  <c r="F71" i="129"/>
  <c r="F73" i="129"/>
  <c r="E65" i="129"/>
  <c r="G65" i="129" s="1"/>
  <c r="F63" i="129"/>
  <c r="G63" i="129" s="1"/>
  <c r="D63" i="129"/>
  <c r="E62" i="129"/>
  <c r="E61" i="129"/>
  <c r="G61" i="129" s="1"/>
  <c r="F60" i="129"/>
  <c r="D53" i="129"/>
  <c r="D52" i="129"/>
  <c r="E48" i="129"/>
  <c r="D48" i="129"/>
  <c r="E37" i="129"/>
  <c r="G37" i="129" s="1"/>
  <c r="D37" i="129"/>
  <c r="E33" i="129"/>
  <c r="D33" i="129"/>
  <c r="F32" i="129"/>
  <c r="F31" i="129"/>
  <c r="G29" i="129"/>
  <c r="G28" i="129"/>
  <c r="E26" i="129"/>
  <c r="G26" i="129" s="1"/>
  <c r="D26" i="129"/>
  <c r="G25" i="129"/>
  <c r="E23" i="129"/>
  <c r="G23" i="129" s="1"/>
  <c r="D23" i="129"/>
  <c r="G22" i="129"/>
  <c r="E22" i="129"/>
  <c r="D22" i="129"/>
  <c r="D16" i="129" s="1"/>
  <c r="D7" i="129" s="1"/>
  <c r="E19" i="129"/>
  <c r="G19" i="129" s="1"/>
  <c r="D19" i="129"/>
  <c r="E18" i="129"/>
  <c r="G18" i="129" s="1"/>
  <c r="D18" i="129"/>
  <c r="E16" i="129"/>
  <c r="G16" i="129" s="1"/>
  <c r="E12" i="129"/>
  <c r="G12" i="129" s="1"/>
  <c r="D12" i="129"/>
  <c r="E11" i="129"/>
  <c r="G11" i="129" s="1"/>
  <c r="D11" i="129"/>
  <c r="G9" i="129"/>
  <c r="E9" i="129"/>
  <c r="D9" i="129"/>
  <c r="D8" i="129"/>
  <c r="F7" i="129"/>
  <c r="E75" i="128"/>
  <c r="D75" i="128"/>
  <c r="F71" i="128"/>
  <c r="F73" i="128"/>
  <c r="E65" i="128"/>
  <c r="G65" i="128" s="1"/>
  <c r="F63" i="128"/>
  <c r="G63" i="128" s="1"/>
  <c r="D63" i="128"/>
  <c r="E62" i="128"/>
  <c r="E61" i="128"/>
  <c r="G61" i="128" s="1"/>
  <c r="F60" i="128"/>
  <c r="D53" i="128"/>
  <c r="D52" i="128"/>
  <c r="F51" i="128"/>
  <c r="E48" i="128"/>
  <c r="D48" i="128"/>
  <c r="E37" i="128"/>
  <c r="D37" i="128"/>
  <c r="E33" i="128"/>
  <c r="D33" i="128"/>
  <c r="F32" i="128"/>
  <c r="F31" i="128"/>
  <c r="G29" i="128"/>
  <c r="G28" i="128"/>
  <c r="G27" i="128"/>
  <c r="E26" i="128"/>
  <c r="G26" i="128" s="1"/>
  <c r="D26" i="128"/>
  <c r="G25" i="128"/>
  <c r="E23" i="128"/>
  <c r="G23" i="128" s="1"/>
  <c r="D23" i="128"/>
  <c r="G22" i="128"/>
  <c r="E22" i="128"/>
  <c r="D22" i="128"/>
  <c r="D16" i="128" s="1"/>
  <c r="D7" i="128" s="1"/>
  <c r="E19" i="128"/>
  <c r="G19" i="128" s="1"/>
  <c r="D19" i="128"/>
  <c r="E18" i="128"/>
  <c r="G18" i="128" s="1"/>
  <c r="D18" i="128"/>
  <c r="E16" i="128"/>
  <c r="G16" i="128" s="1"/>
  <c r="E12" i="128"/>
  <c r="G12" i="128" s="1"/>
  <c r="D12" i="128"/>
  <c r="E11" i="128"/>
  <c r="G11" i="128" s="1"/>
  <c r="D11" i="128"/>
  <c r="G9" i="128"/>
  <c r="E9" i="128"/>
  <c r="D9" i="128"/>
  <c r="D8" i="128"/>
  <c r="F7" i="128"/>
  <c r="F33" i="128" s="1"/>
  <c r="K16" i="8"/>
  <c r="K17" i="8"/>
  <c r="K21" i="8"/>
  <c r="I21" i="8" s="1"/>
  <c r="K26" i="8"/>
  <c r="I26" i="8" s="1"/>
  <c r="K27" i="8"/>
  <c r="I27" i="8" s="1"/>
  <c r="K29" i="8"/>
  <c r="I29" i="8" s="1"/>
  <c r="K30" i="8"/>
  <c r="I30" i="8" s="1"/>
  <c r="K31" i="8"/>
  <c r="I31" i="8" s="1"/>
  <c r="K33" i="8"/>
  <c r="I33" i="8" s="1"/>
  <c r="K34" i="8"/>
  <c r="I34" i="8" s="1"/>
  <c r="K39" i="8"/>
  <c r="K44" i="8"/>
  <c r="I44" i="8" s="1"/>
  <c r="K45" i="8"/>
  <c r="I45" i="8" s="1"/>
  <c r="K47" i="8"/>
  <c r="K48" i="8"/>
  <c r="K49" i="8"/>
  <c r="K50" i="8"/>
  <c r="K52" i="8"/>
  <c r="I52" i="8" s="1"/>
  <c r="K53" i="8"/>
  <c r="I53" i="8" s="1"/>
  <c r="K56" i="8"/>
  <c r="I56" i="8" s="1"/>
  <c r="K58" i="8"/>
  <c r="I58" i="8" s="1"/>
  <c r="K62" i="8"/>
  <c r="I62" i="8" s="1"/>
  <c r="K63" i="8"/>
  <c r="K22" i="8"/>
  <c r="G64" i="127"/>
  <c r="F64" i="127"/>
  <c r="E64" i="127"/>
  <c r="D64" i="127"/>
  <c r="G63" i="127"/>
  <c r="D63" i="127"/>
  <c r="F60" i="127"/>
  <c r="F59" i="127"/>
  <c r="E59" i="127"/>
  <c r="D59" i="127"/>
  <c r="E58" i="127"/>
  <c r="D58" i="127"/>
  <c r="F57" i="127"/>
  <c r="E57" i="127"/>
  <c r="D57" i="127"/>
  <c r="F55" i="127"/>
  <c r="F54" i="127" s="1"/>
  <c r="E55" i="127"/>
  <c r="D55" i="127"/>
  <c r="D54" i="127" s="1"/>
  <c r="F51" i="127"/>
  <c r="E51" i="127"/>
  <c r="D51" i="127"/>
  <c r="E50" i="127"/>
  <c r="D50" i="127"/>
  <c r="E49" i="127"/>
  <c r="D49" i="127"/>
  <c r="E48" i="127"/>
  <c r="D48" i="127"/>
  <c r="E47" i="127"/>
  <c r="E46" i="127" s="1"/>
  <c r="D47" i="127"/>
  <c r="D46" i="127" s="1"/>
  <c r="F46" i="127"/>
  <c r="F42" i="127"/>
  <c r="E39" i="127"/>
  <c r="G39" i="127" s="1"/>
  <c r="D39" i="127"/>
  <c r="G38" i="127"/>
  <c r="F38" i="127"/>
  <c r="E38" i="127"/>
  <c r="D38" i="127"/>
  <c r="G37" i="127"/>
  <c r="F37" i="127"/>
  <c r="F36" i="127" s="1"/>
  <c r="E37" i="127"/>
  <c r="E36" i="127" s="1"/>
  <c r="D37" i="127"/>
  <c r="D36" i="127" s="1"/>
  <c r="G36" i="127"/>
  <c r="G35" i="127"/>
  <c r="F35" i="127"/>
  <c r="E35" i="127"/>
  <c r="D35" i="127"/>
  <c r="G32" i="127"/>
  <c r="F32" i="127"/>
  <c r="E32" i="127"/>
  <c r="D32" i="127"/>
  <c r="G28" i="127"/>
  <c r="F28" i="127"/>
  <c r="E28" i="127"/>
  <c r="D28" i="127"/>
  <c r="G25" i="127"/>
  <c r="F25" i="127"/>
  <c r="E25" i="127"/>
  <c r="D25" i="127"/>
  <c r="G24" i="127"/>
  <c r="F24" i="127"/>
  <c r="E24" i="127"/>
  <c r="D24" i="127"/>
  <c r="G23" i="127"/>
  <c r="F23" i="127"/>
  <c r="E23" i="127"/>
  <c r="D23" i="127"/>
  <c r="F20" i="127"/>
  <c r="F19" i="127" s="1"/>
  <c r="E20" i="127"/>
  <c r="E19" i="127" s="1"/>
  <c r="D20" i="127"/>
  <c r="D19" i="127"/>
  <c r="G18" i="127"/>
  <c r="F18" i="127"/>
  <c r="E18" i="127"/>
  <c r="D18" i="127"/>
  <c r="G15" i="127"/>
  <c r="F15" i="127"/>
  <c r="E15" i="127"/>
  <c r="D15" i="127"/>
  <c r="G14" i="127"/>
  <c r="F14" i="127"/>
  <c r="E14" i="127"/>
  <c r="D14" i="127"/>
  <c r="G13" i="127"/>
  <c r="F13" i="127"/>
  <c r="E13" i="127"/>
  <c r="D13" i="127"/>
  <c r="G12" i="127"/>
  <c r="F12" i="127"/>
  <c r="E12" i="127"/>
  <c r="D12" i="127"/>
  <c r="G11" i="127"/>
  <c r="F11" i="127"/>
  <c r="E11" i="127"/>
  <c r="D11" i="127"/>
  <c r="G10" i="127"/>
  <c r="F10" i="127"/>
  <c r="E10" i="127"/>
  <c r="D10" i="127"/>
  <c r="G9" i="127"/>
  <c r="F9" i="127"/>
  <c r="E9" i="127"/>
  <c r="D9" i="127"/>
  <c r="G8" i="127"/>
  <c r="F8" i="127"/>
  <c r="F16" i="134" s="1"/>
  <c r="E8" i="127"/>
  <c r="D8" i="127"/>
  <c r="G62" i="126"/>
  <c r="F62" i="126"/>
  <c r="E62" i="126"/>
  <c r="D62" i="126"/>
  <c r="G61" i="126"/>
  <c r="D61" i="126"/>
  <c r="F58" i="126"/>
  <c r="F57" i="126"/>
  <c r="E57" i="126"/>
  <c r="D57" i="126"/>
  <c r="E56" i="126"/>
  <c r="D56" i="126"/>
  <c r="F55" i="126"/>
  <c r="E55" i="126"/>
  <c r="D55" i="126"/>
  <c r="F53" i="126"/>
  <c r="E53" i="126"/>
  <c r="D53" i="126"/>
  <c r="E52" i="126"/>
  <c r="F49" i="126"/>
  <c r="E49" i="126"/>
  <c r="D49" i="126"/>
  <c r="E48" i="126"/>
  <c r="D48" i="126"/>
  <c r="E47" i="126"/>
  <c r="D47" i="126"/>
  <c r="E46" i="126"/>
  <c r="E44" i="126" s="1"/>
  <c r="D46" i="126"/>
  <c r="F44" i="126"/>
  <c r="E45" i="126"/>
  <c r="D45" i="126"/>
  <c r="D44" i="126" s="1"/>
  <c r="F40" i="126"/>
  <c r="E39" i="126"/>
  <c r="G39" i="126" s="1"/>
  <c r="D39" i="126"/>
  <c r="G38" i="126"/>
  <c r="F38" i="126"/>
  <c r="E38" i="126"/>
  <c r="D38" i="126"/>
  <c r="G37" i="126"/>
  <c r="F37" i="126"/>
  <c r="E37" i="126"/>
  <c r="D37" i="126"/>
  <c r="G36" i="126"/>
  <c r="F36" i="126"/>
  <c r="E36" i="126"/>
  <c r="D36" i="126"/>
  <c r="G35" i="126"/>
  <c r="F35" i="126"/>
  <c r="E35" i="126"/>
  <c r="D35" i="126"/>
  <c r="G32" i="126"/>
  <c r="F32" i="126"/>
  <c r="E32" i="126"/>
  <c r="D32" i="126"/>
  <c r="G28" i="126"/>
  <c r="F28" i="126"/>
  <c r="E28" i="126"/>
  <c r="D28" i="126"/>
  <c r="G25" i="126"/>
  <c r="F25" i="126"/>
  <c r="E25" i="126"/>
  <c r="D25" i="126"/>
  <c r="G24" i="126"/>
  <c r="F24" i="126"/>
  <c r="E24" i="126"/>
  <c r="D24" i="126"/>
  <c r="G23" i="126"/>
  <c r="F23" i="126"/>
  <c r="E23" i="126"/>
  <c r="D23" i="126"/>
  <c r="F20" i="126"/>
  <c r="E20" i="126"/>
  <c r="D20" i="126"/>
  <c r="F19" i="126"/>
  <c r="E19" i="126"/>
  <c r="D19" i="126"/>
  <c r="G18" i="126"/>
  <c r="F18" i="126"/>
  <c r="E18" i="126"/>
  <c r="D18" i="126"/>
  <c r="G15" i="126"/>
  <c r="F15" i="126"/>
  <c r="E15" i="126"/>
  <c r="D15" i="126"/>
  <c r="G14" i="126"/>
  <c r="F14" i="126"/>
  <c r="E14" i="126"/>
  <c r="D14" i="126"/>
  <c r="G13" i="126"/>
  <c r="F13" i="126"/>
  <c r="E13" i="126"/>
  <c r="D13" i="126"/>
  <c r="G12" i="126"/>
  <c r="F12" i="126"/>
  <c r="E12" i="126"/>
  <c r="D12" i="126"/>
  <c r="G11" i="126"/>
  <c r="F11" i="126"/>
  <c r="E11" i="126"/>
  <c r="D11" i="126"/>
  <c r="G10" i="126"/>
  <c r="F10" i="126"/>
  <c r="E10" i="126"/>
  <c r="D10" i="126"/>
  <c r="G9" i="126"/>
  <c r="F9" i="126"/>
  <c r="F8" i="126" s="1"/>
  <c r="E9" i="126"/>
  <c r="E8" i="126" s="1"/>
  <c r="E41" i="126" s="1"/>
  <c r="D9" i="126"/>
  <c r="G8" i="126"/>
  <c r="D8" i="126"/>
  <c r="D41" i="126" s="1"/>
  <c r="G62" i="125"/>
  <c r="F62" i="125"/>
  <c r="K64" i="8" s="1"/>
  <c r="E62" i="125"/>
  <c r="D62" i="125"/>
  <c r="G61" i="125"/>
  <c r="D61" i="125"/>
  <c r="F58" i="125"/>
  <c r="F57" i="125"/>
  <c r="K59" i="8" s="1"/>
  <c r="E57" i="125"/>
  <c r="D57" i="125"/>
  <c r="E56" i="125"/>
  <c r="D56" i="125"/>
  <c r="F55" i="125"/>
  <c r="E55" i="125"/>
  <c r="E52" i="125" s="1"/>
  <c r="D55" i="125"/>
  <c r="F53" i="125"/>
  <c r="F52" i="125" s="1"/>
  <c r="E53" i="125"/>
  <c r="D53" i="125"/>
  <c r="D52" i="125" s="1"/>
  <c r="F49" i="125"/>
  <c r="K51" i="8" s="1"/>
  <c r="E49" i="125"/>
  <c r="D49" i="125"/>
  <c r="E48" i="125"/>
  <c r="D48" i="125"/>
  <c r="E47" i="125"/>
  <c r="D47" i="125"/>
  <c r="E46" i="125"/>
  <c r="D46" i="125"/>
  <c r="E45" i="125"/>
  <c r="D45" i="125"/>
  <c r="D44" i="125" s="1"/>
  <c r="D59" i="125" s="1"/>
  <c r="E44" i="125"/>
  <c r="F40" i="125"/>
  <c r="K42" i="8" s="1"/>
  <c r="E39" i="125"/>
  <c r="G39" i="125" s="1"/>
  <c r="D39" i="125"/>
  <c r="G38" i="125"/>
  <c r="F38" i="125"/>
  <c r="K38" i="8" s="1"/>
  <c r="E38" i="125"/>
  <c r="D38" i="125"/>
  <c r="G37" i="125"/>
  <c r="F37" i="125"/>
  <c r="F36" i="125" s="1"/>
  <c r="E37" i="125"/>
  <c r="D37" i="125"/>
  <c r="D36" i="125" s="1"/>
  <c r="G36" i="125"/>
  <c r="E36" i="125"/>
  <c r="G35" i="125"/>
  <c r="F35" i="125"/>
  <c r="E35" i="125"/>
  <c r="D35" i="125"/>
  <c r="G32" i="125"/>
  <c r="F32" i="125"/>
  <c r="F30" i="136" s="1"/>
  <c r="G30" i="136" s="1"/>
  <c r="E32" i="125"/>
  <c r="D32" i="125"/>
  <c r="G28" i="125"/>
  <c r="F28" i="125"/>
  <c r="F29" i="136" s="1"/>
  <c r="G29" i="136" s="1"/>
  <c r="E28" i="125"/>
  <c r="D28" i="125"/>
  <c r="G25" i="125"/>
  <c r="F25" i="125"/>
  <c r="E25" i="125"/>
  <c r="D25" i="125"/>
  <c r="G24" i="125"/>
  <c r="F24" i="125"/>
  <c r="K24" i="8" s="1"/>
  <c r="E24" i="125"/>
  <c r="D24" i="125"/>
  <c r="G23" i="125"/>
  <c r="F23" i="125"/>
  <c r="E23" i="125"/>
  <c r="D23" i="125"/>
  <c r="F20" i="125"/>
  <c r="E20" i="125"/>
  <c r="D20" i="125"/>
  <c r="F19" i="125"/>
  <c r="E19" i="125"/>
  <c r="D19" i="125"/>
  <c r="G18" i="125"/>
  <c r="F18" i="125"/>
  <c r="E18" i="125"/>
  <c r="D18" i="125"/>
  <c r="G15" i="125"/>
  <c r="F15" i="125"/>
  <c r="K15" i="8" s="1"/>
  <c r="E15" i="125"/>
  <c r="D15" i="125"/>
  <c r="G14" i="125"/>
  <c r="F14" i="125"/>
  <c r="E14" i="125"/>
  <c r="D14" i="125"/>
  <c r="G13" i="125"/>
  <c r="F13" i="125"/>
  <c r="K13" i="8" s="1"/>
  <c r="E13" i="125"/>
  <c r="D13" i="125"/>
  <c r="G12" i="125"/>
  <c r="F12" i="125"/>
  <c r="E12" i="125"/>
  <c r="D12" i="125"/>
  <c r="G11" i="125"/>
  <c r="F11" i="125"/>
  <c r="K11" i="8" s="1"/>
  <c r="E11" i="125"/>
  <c r="D11" i="125"/>
  <c r="G10" i="125"/>
  <c r="F10" i="125"/>
  <c r="E10" i="125"/>
  <c r="D10" i="125"/>
  <c r="G9" i="125"/>
  <c r="F9" i="125"/>
  <c r="K9" i="8" s="1"/>
  <c r="E9" i="125"/>
  <c r="E8" i="125" s="1"/>
  <c r="D9" i="125"/>
  <c r="D8" i="125" s="1"/>
  <c r="G8" i="125"/>
  <c r="F8" i="125"/>
  <c r="F20" i="9"/>
  <c r="F19" i="9" s="1"/>
  <c r="F22" i="8"/>
  <c r="F20" i="8" s="1"/>
  <c r="F20" i="84"/>
  <c r="F20" i="34"/>
  <c r="F19" i="34" s="1"/>
  <c r="F42" i="34" s="1"/>
  <c r="F19" i="85"/>
  <c r="F59" i="112"/>
  <c r="F36" i="31"/>
  <c r="F36" i="85"/>
  <c r="F36" i="34"/>
  <c r="F34" i="34"/>
  <c r="F28" i="34"/>
  <c r="F26" i="34"/>
  <c r="F36" i="36"/>
  <c r="K192" i="37"/>
  <c r="K188" i="37"/>
  <c r="K173" i="37"/>
  <c r="K169" i="37"/>
  <c r="K165" i="37"/>
  <c r="K163" i="37"/>
  <c r="K156" i="37"/>
  <c r="K144" i="37"/>
  <c r="K140" i="37"/>
  <c r="K138" i="37"/>
  <c r="K134" i="37"/>
  <c r="K125" i="37"/>
  <c r="K121" i="37"/>
  <c r="K117" i="37"/>
  <c r="K115" i="37"/>
  <c r="K98" i="37"/>
  <c r="K94" i="37"/>
  <c r="K88" i="37"/>
  <c r="K75" i="37"/>
  <c r="K71" i="37"/>
  <c r="K54" i="37"/>
  <c r="K50" i="37"/>
  <c r="K46" i="37"/>
  <c r="K44" i="37"/>
  <c r="K31" i="37"/>
  <c r="K27" i="37"/>
  <c r="K23" i="37"/>
  <c r="F40" i="83"/>
  <c r="F36" i="83"/>
  <c r="F40" i="82"/>
  <c r="F36" i="82"/>
  <c r="F40" i="81"/>
  <c r="F36" i="81"/>
  <c r="F28" i="81"/>
  <c r="F26" i="81"/>
  <c r="F33" i="129" l="1"/>
  <c r="E62" i="130"/>
  <c r="G67" i="134"/>
  <c r="K60" i="5"/>
  <c r="K71" i="5"/>
  <c r="F41" i="128"/>
  <c r="K42" i="5"/>
  <c r="G37" i="128"/>
  <c r="G67" i="136"/>
  <c r="K67" i="124"/>
  <c r="F46" i="136"/>
  <c r="G33" i="128"/>
  <c r="G16" i="134"/>
  <c r="K63" i="5"/>
  <c r="D8" i="130"/>
  <c r="D7" i="130" s="1"/>
  <c r="K73" i="5"/>
  <c r="F41" i="125"/>
  <c r="G52" i="125"/>
  <c r="F61" i="127"/>
  <c r="F28" i="136"/>
  <c r="I29" i="124"/>
  <c r="E41" i="125"/>
  <c r="E59" i="125"/>
  <c r="K60" i="8"/>
  <c r="K10" i="8"/>
  <c r="K12" i="8"/>
  <c r="K14" i="8"/>
  <c r="K18" i="8"/>
  <c r="K23" i="8"/>
  <c r="K25" i="8"/>
  <c r="K35" i="8"/>
  <c r="F52" i="126"/>
  <c r="G55" i="127"/>
  <c r="K57" i="8"/>
  <c r="F41" i="126"/>
  <c r="G41" i="126" s="1"/>
  <c r="K8" i="8"/>
  <c r="F59" i="126"/>
  <c r="J41" i="126" s="1"/>
  <c r="G52" i="126"/>
  <c r="D52" i="126"/>
  <c r="D43" i="127"/>
  <c r="F43" i="127"/>
  <c r="K55" i="8"/>
  <c r="K37" i="8"/>
  <c r="D41" i="125"/>
  <c r="F44" i="125"/>
  <c r="F59" i="125" s="1"/>
  <c r="G53" i="125"/>
  <c r="G53" i="126"/>
  <c r="E43" i="127"/>
  <c r="K19" i="8"/>
  <c r="F26" i="134"/>
  <c r="D61" i="127"/>
  <c r="E54" i="127"/>
  <c r="E61" i="127" s="1"/>
  <c r="I22" i="8"/>
  <c r="K36" i="8"/>
  <c r="K32" i="8"/>
  <c r="K28" i="8"/>
  <c r="I30" i="124"/>
  <c r="G41" i="125"/>
  <c r="E59" i="126"/>
  <c r="K54" i="8"/>
  <c r="G28" i="136"/>
  <c r="I28" i="124"/>
  <c r="F77" i="134"/>
  <c r="E77" i="131"/>
  <c r="G33" i="129"/>
  <c r="G27" i="129"/>
  <c r="F62" i="130"/>
  <c r="F68" i="130"/>
  <c r="F7" i="130"/>
  <c r="K7" i="5" s="1"/>
  <c r="I7" i="5" s="1"/>
  <c r="E16" i="130"/>
  <c r="E7" i="130" s="1"/>
  <c r="G8" i="129"/>
  <c r="G7" i="129"/>
  <c r="E8" i="129"/>
  <c r="E7" i="129" s="1"/>
  <c r="F62" i="129"/>
  <c r="G62" i="129" s="1"/>
  <c r="G8" i="128"/>
  <c r="G7" i="128"/>
  <c r="E8" i="128"/>
  <c r="E7" i="128" s="1"/>
  <c r="F62" i="128"/>
  <c r="G62" i="128" s="1"/>
  <c r="F68" i="128"/>
  <c r="K20" i="8"/>
  <c r="I20" i="8" s="1"/>
  <c r="K46" i="8"/>
  <c r="D59" i="126"/>
  <c r="I39" i="126"/>
  <c r="J41" i="125"/>
  <c r="G59" i="125"/>
  <c r="K41" i="5" l="1"/>
  <c r="K46" i="124"/>
  <c r="G26" i="134"/>
  <c r="G62" i="130"/>
  <c r="K62" i="5"/>
  <c r="G61" i="127"/>
  <c r="K43" i="8"/>
  <c r="I39" i="125"/>
  <c r="G59" i="126"/>
  <c r="G54" i="127"/>
  <c r="K61" i="8"/>
  <c r="F7" i="134"/>
  <c r="J43" i="127"/>
  <c r="I39" i="127"/>
  <c r="G43" i="127"/>
  <c r="F88" i="134"/>
  <c r="F79" i="134"/>
  <c r="F72" i="130"/>
  <c r="F83" i="130" s="1"/>
  <c r="F33" i="130"/>
  <c r="G7" i="130"/>
  <c r="G16" i="130"/>
  <c r="I33" i="130" l="1"/>
  <c r="G7" i="134"/>
  <c r="G33" i="130"/>
  <c r="K33" i="5"/>
  <c r="I33" i="5" s="1"/>
  <c r="F74" i="130"/>
  <c r="F50" i="11" l="1"/>
  <c r="E18" i="2" l="1"/>
  <c r="E17" i="2" s="1"/>
  <c r="E26" i="2" s="1"/>
  <c r="F81" i="124"/>
  <c r="E80" i="124"/>
  <c r="D80" i="124"/>
  <c r="F76" i="124"/>
  <c r="I76" i="124" s="1"/>
  <c r="E70" i="124"/>
  <c r="G70" i="124" s="1"/>
  <c r="F68" i="124"/>
  <c r="I68" i="124" s="1"/>
  <c r="D68" i="124"/>
  <c r="E66" i="124"/>
  <c r="G66" i="124" s="1"/>
  <c r="F65" i="124"/>
  <c r="I65" i="124" s="1"/>
  <c r="D58" i="124"/>
  <c r="D57" i="124"/>
  <c r="E53" i="124"/>
  <c r="D53" i="124"/>
  <c r="E42" i="124"/>
  <c r="D42" i="124"/>
  <c r="E38" i="124"/>
  <c r="D38" i="124"/>
  <c r="E26" i="124"/>
  <c r="D26" i="124"/>
  <c r="G25" i="124"/>
  <c r="E23" i="124"/>
  <c r="G23" i="124" s="1"/>
  <c r="D23" i="124"/>
  <c r="E22" i="124"/>
  <c r="G22" i="124" s="1"/>
  <c r="D22" i="124"/>
  <c r="F12" i="124"/>
  <c r="E12" i="124"/>
  <c r="D12" i="124"/>
  <c r="E9" i="124"/>
  <c r="G9" i="124" s="1"/>
  <c r="D9" i="124"/>
  <c r="G157" i="6"/>
  <c r="G151" i="6" s="1"/>
  <c r="F32" i="5" s="1"/>
  <c r="F31" i="5" s="1"/>
  <c r="G110" i="6"/>
  <c r="F28" i="5" s="1"/>
  <c r="F29" i="124" l="1"/>
  <c r="E67" i="124"/>
  <c r="G12" i="124"/>
  <c r="F67" i="124"/>
  <c r="I67" i="124" s="1"/>
  <c r="G68" i="124"/>
  <c r="G29" i="124" l="1"/>
  <c r="E38" i="131"/>
  <c r="E7" i="3"/>
  <c r="G67" i="124"/>
  <c r="G57" i="6" l="1"/>
  <c r="G56" i="6" s="1"/>
  <c r="F26" i="5" s="1"/>
  <c r="G40" i="6" l="1"/>
  <c r="G37" i="6"/>
  <c r="G35" i="6"/>
  <c r="G33" i="6"/>
  <c r="G30" i="6"/>
  <c r="G32" i="6" l="1"/>
  <c r="G29" i="6" s="1"/>
  <c r="G7" i="6"/>
  <c r="F18" i="124" s="1"/>
  <c r="F8" i="5" l="1"/>
  <c r="F8" i="124"/>
  <c r="E20" i="131" s="1"/>
  <c r="F59" i="17"/>
  <c r="F53" i="17"/>
  <c r="F49" i="17"/>
  <c r="F48" i="17"/>
  <c r="F47" i="17"/>
  <c r="F22" i="17"/>
  <c r="F19" i="24"/>
  <c r="I39" i="36"/>
  <c r="I40" i="36"/>
  <c r="E8" i="2" l="1"/>
  <c r="F43" i="81"/>
  <c r="K157" i="37"/>
  <c r="K159" i="37"/>
  <c r="K132" i="37"/>
  <c r="K109" i="37"/>
  <c r="K108" i="37" s="1"/>
  <c r="K111" i="37"/>
  <c r="K63" i="37"/>
  <c r="K62" i="37" s="1"/>
  <c r="K65" i="37"/>
  <c r="K40" i="37"/>
  <c r="K38" i="37"/>
  <c r="K5" i="37" l="1"/>
  <c r="E36" i="36"/>
  <c r="D36" i="36"/>
  <c r="J42" i="17"/>
  <c r="I32" i="36"/>
  <c r="F54" i="86"/>
  <c r="F55" i="34"/>
  <c r="F53" i="89"/>
  <c r="F55" i="88"/>
  <c r="F55" i="31"/>
  <c r="D18" i="17"/>
  <c r="E18" i="17"/>
  <c r="F18" i="17"/>
  <c r="D22" i="17"/>
  <c r="E22" i="17"/>
  <c r="E24" i="17"/>
  <c r="F24" i="17"/>
  <c r="D25" i="17"/>
  <c r="E25" i="17"/>
  <c r="F19" i="114"/>
  <c r="I42" i="17" l="1"/>
  <c r="G18" i="17"/>
  <c r="G22" i="17"/>
  <c r="F55" i="92"/>
  <c r="E55" i="92"/>
  <c r="D55" i="92"/>
  <c r="F48" i="92"/>
  <c r="E48" i="92"/>
  <c r="D48" i="92"/>
  <c r="F40" i="92"/>
  <c r="F33" i="92"/>
  <c r="E33" i="92"/>
  <c r="D33" i="92"/>
  <c r="F19" i="92"/>
  <c r="E19" i="92"/>
  <c r="D19" i="92"/>
  <c r="F8" i="92"/>
  <c r="F45" i="92" s="1"/>
  <c r="E8" i="92"/>
  <c r="D8" i="92"/>
  <c r="F40" i="91"/>
  <c r="F50" i="90"/>
  <c r="F57" i="90"/>
  <c r="F40" i="90"/>
  <c r="E63" i="92" l="1"/>
  <c r="D45" i="92"/>
  <c r="E45" i="92"/>
  <c r="D63" i="92"/>
  <c r="F63" i="92"/>
  <c r="F8" i="30"/>
  <c r="F19" i="30"/>
  <c r="F26" i="30"/>
  <c r="F28" i="30"/>
  <c r="F36" i="30"/>
  <c r="F38" i="30"/>
  <c r="F40" i="30"/>
  <c r="F63" i="8" l="1"/>
  <c r="I63" i="8" s="1"/>
  <c r="I26" i="94" l="1"/>
  <c r="F40" i="95"/>
  <c r="F40" i="94"/>
  <c r="F40" i="93"/>
  <c r="F40" i="29"/>
  <c r="F40" i="97"/>
  <c r="F40" i="96"/>
  <c r="F40" i="28"/>
  <c r="F38" i="110" l="1"/>
  <c r="F38" i="111"/>
  <c r="F29" i="108"/>
  <c r="F36" i="108"/>
  <c r="F38" i="108"/>
  <c r="F36" i="26"/>
  <c r="F36" i="103"/>
  <c r="F36" i="104"/>
  <c r="F34" i="104"/>
  <c r="F32" i="104"/>
  <c r="F28" i="104"/>
  <c r="F26" i="104"/>
  <c r="F19" i="104"/>
  <c r="F50" i="105"/>
  <c r="F36" i="105"/>
  <c r="F34" i="105"/>
  <c r="F32" i="105"/>
  <c r="F36" i="27"/>
  <c r="F34" i="27"/>
  <c r="F32" i="27"/>
  <c r="F28" i="27"/>
  <c r="F36" i="100"/>
  <c r="F34" i="100"/>
  <c r="F32" i="100"/>
  <c r="F28" i="100"/>
  <c r="F26" i="100"/>
  <c r="F19" i="100"/>
  <c r="F8" i="100"/>
  <c r="F19" i="101"/>
  <c r="F32" i="101"/>
  <c r="F44" i="101"/>
  <c r="F57" i="101" s="1"/>
  <c r="F50" i="101"/>
  <c r="F28" i="101"/>
  <c r="F19" i="102"/>
  <c r="F28" i="102"/>
  <c r="F32" i="102"/>
  <c r="F36" i="102"/>
  <c r="D36" i="103"/>
  <c r="E36" i="103"/>
  <c r="F43" i="100" l="1"/>
  <c r="F38" i="25"/>
  <c r="F38" i="106"/>
  <c r="F62" i="107"/>
  <c r="E62" i="107"/>
  <c r="D62" i="107"/>
  <c r="F54" i="107"/>
  <c r="E54" i="107"/>
  <c r="D54" i="107"/>
  <c r="F45" i="107"/>
  <c r="E45" i="107"/>
  <c r="D45" i="107"/>
  <c r="D61" i="107" s="1"/>
  <c r="F33" i="107"/>
  <c r="E33" i="107"/>
  <c r="F19" i="107"/>
  <c r="E19" i="107"/>
  <c r="D19" i="107"/>
  <c r="F8" i="107"/>
  <c r="E8" i="107"/>
  <c r="E42" i="107" s="1"/>
  <c r="D8" i="107"/>
  <c r="D42" i="107" s="1"/>
  <c r="F38" i="109"/>
  <c r="F38" i="24"/>
  <c r="F45" i="111"/>
  <c r="F54" i="111"/>
  <c r="F61" i="111" l="1"/>
  <c r="F61" i="107"/>
  <c r="F42" i="107"/>
  <c r="E61" i="107"/>
  <c r="F8" i="24"/>
  <c r="F56" i="24"/>
  <c r="E56" i="24"/>
  <c r="D56" i="24"/>
  <c r="F47" i="24"/>
  <c r="E47" i="24"/>
  <c r="E63" i="24" s="1"/>
  <c r="D47" i="24"/>
  <c r="F33" i="24"/>
  <c r="E33" i="24"/>
  <c r="D33" i="24"/>
  <c r="E19" i="24"/>
  <c r="E23" i="17" s="1"/>
  <c r="G23" i="17" s="1"/>
  <c r="D19" i="24"/>
  <c r="D23" i="17" s="1"/>
  <c r="E8" i="24"/>
  <c r="E44" i="24" s="1"/>
  <c r="D8" i="24"/>
  <c r="F19" i="111"/>
  <c r="F19" i="110"/>
  <c r="F19" i="109"/>
  <c r="F63" i="24" l="1"/>
  <c r="D63" i="24"/>
  <c r="F44" i="24"/>
  <c r="D44" i="24"/>
  <c r="J55" i="17"/>
  <c r="I55" i="17" s="1"/>
  <c r="J56" i="17"/>
  <c r="I56" i="17" s="1"/>
  <c r="J59" i="17"/>
  <c r="J60" i="17"/>
  <c r="I60" i="17" s="1"/>
  <c r="J28" i="17"/>
  <c r="I28" i="17" s="1"/>
  <c r="J29" i="17"/>
  <c r="I29" i="17" s="1"/>
  <c r="J30" i="17"/>
  <c r="I30" i="17" s="1"/>
  <c r="J31" i="17"/>
  <c r="I31" i="17" s="1"/>
  <c r="J32" i="17"/>
  <c r="I32" i="17" s="1"/>
  <c r="J44" i="17"/>
  <c r="I44" i="17" s="1"/>
  <c r="J45" i="17"/>
  <c r="I45" i="17" s="1"/>
  <c r="F22" i="113"/>
  <c r="F50" i="113"/>
  <c r="F51" i="113"/>
  <c r="J51" i="17" s="1"/>
  <c r="F52" i="87"/>
  <c r="F47" i="87"/>
  <c r="F48" i="87"/>
  <c r="F49" i="87"/>
  <c r="F50" i="87"/>
  <c r="F46" i="87"/>
  <c r="F36" i="87"/>
  <c r="F25" i="87"/>
  <c r="F23" i="87"/>
  <c r="F22" i="87"/>
  <c r="F20" i="87"/>
  <c r="F10" i="87"/>
  <c r="F11" i="87"/>
  <c r="F12" i="87"/>
  <c r="F13" i="87"/>
  <c r="F14" i="87"/>
  <c r="F15" i="87"/>
  <c r="F18" i="87"/>
  <c r="F9" i="87"/>
  <c r="F9" i="112" s="1"/>
  <c r="J9" i="17" s="1"/>
  <c r="L9" i="34"/>
  <c r="L26" i="34"/>
  <c r="L32" i="34"/>
  <c r="L37" i="34"/>
  <c r="L38" i="34"/>
  <c r="L43" i="34"/>
  <c r="L44" i="34"/>
  <c r="L53" i="34"/>
  <c r="L54" i="34"/>
  <c r="L56" i="34"/>
  <c r="L57" i="34"/>
  <c r="L58" i="34"/>
  <c r="F52" i="84"/>
  <c r="L52" i="34" s="1"/>
  <c r="F47" i="84"/>
  <c r="L47" i="34" s="1"/>
  <c r="F48" i="84"/>
  <c r="L48" i="34" s="1"/>
  <c r="K48" i="34" s="1"/>
  <c r="F49" i="84"/>
  <c r="L49" i="34" s="1"/>
  <c r="F50" i="84"/>
  <c r="L50" i="34" s="1"/>
  <c r="F46" i="84"/>
  <c r="L46" i="34" s="1"/>
  <c r="F11" i="84"/>
  <c r="L11" i="34" s="1"/>
  <c r="F12" i="84"/>
  <c r="L12" i="34" s="1"/>
  <c r="F13" i="84"/>
  <c r="L13" i="34" s="1"/>
  <c r="F14" i="84"/>
  <c r="L14" i="34" s="1"/>
  <c r="F15" i="84"/>
  <c r="L15" i="34" s="1"/>
  <c r="F18" i="84"/>
  <c r="L18" i="34" s="1"/>
  <c r="L22" i="34"/>
  <c r="F23" i="84"/>
  <c r="L23" i="34" s="1"/>
  <c r="F24" i="84"/>
  <c r="F25" i="84"/>
  <c r="L25" i="34" s="1"/>
  <c r="L20" i="34"/>
  <c r="F10" i="84"/>
  <c r="L10" i="34" s="1"/>
  <c r="I9" i="36"/>
  <c r="I11" i="36"/>
  <c r="I12" i="36"/>
  <c r="I13" i="36"/>
  <c r="I14" i="36"/>
  <c r="I15" i="36"/>
  <c r="I22" i="36"/>
  <c r="I23" i="36"/>
  <c r="I26" i="36"/>
  <c r="I42" i="36"/>
  <c r="I43" i="36"/>
  <c r="I48" i="36"/>
  <c r="I49" i="36"/>
  <c r="I53" i="36"/>
  <c r="I56" i="36"/>
  <c r="I58" i="36"/>
  <c r="F55" i="82"/>
  <c r="F39" i="82"/>
  <c r="F39" i="113" s="1"/>
  <c r="F35" i="135" s="1"/>
  <c r="J35" i="135" s="1"/>
  <c r="F10" i="82"/>
  <c r="F10" i="113" s="1"/>
  <c r="F18" i="82"/>
  <c r="F18" i="113" s="1"/>
  <c r="F21" i="82"/>
  <c r="F21" i="113" s="1"/>
  <c r="F50" i="82"/>
  <c r="F53" i="113" s="1"/>
  <c r="F45" i="82"/>
  <c r="F48" i="113" s="1"/>
  <c r="F43" i="135" s="1"/>
  <c r="F46" i="82"/>
  <c r="F49" i="113" s="1"/>
  <c r="F44" i="135" s="1"/>
  <c r="F44" i="82"/>
  <c r="F47" i="113" s="1"/>
  <c r="F42" i="135" s="1"/>
  <c r="U110" i="37"/>
  <c r="F10" i="81"/>
  <c r="I10" i="36" s="1"/>
  <c r="F39" i="81"/>
  <c r="F21" i="81"/>
  <c r="F21" i="112" s="1"/>
  <c r="J21" i="17" s="1"/>
  <c r="F55" i="81"/>
  <c r="F50" i="81"/>
  <c r="F45" i="81"/>
  <c r="F46" i="81"/>
  <c r="F44" i="81"/>
  <c r="D49" i="114"/>
  <c r="F48" i="114"/>
  <c r="F43" i="114" s="1"/>
  <c r="E48" i="114"/>
  <c r="D48" i="114"/>
  <c r="F37" i="114"/>
  <c r="E37" i="114"/>
  <c r="D35" i="114"/>
  <c r="G29" i="114"/>
  <c r="G28" i="114"/>
  <c r="F27" i="114"/>
  <c r="F26" i="114" s="1"/>
  <c r="E27" i="114"/>
  <c r="E26" i="114" s="1"/>
  <c r="D27" i="114"/>
  <c r="D26" i="114" s="1"/>
  <c r="E25" i="114"/>
  <c r="D25" i="114"/>
  <c r="E24" i="114"/>
  <c r="E23" i="114"/>
  <c r="G23" i="114" s="1"/>
  <c r="D23" i="114"/>
  <c r="E22" i="114"/>
  <c r="G22" i="114" s="1"/>
  <c r="G20" i="114"/>
  <c r="F18" i="114"/>
  <c r="E18" i="114"/>
  <c r="D18" i="114"/>
  <c r="E15" i="114"/>
  <c r="D15" i="114"/>
  <c r="E14" i="114"/>
  <c r="G14" i="114" s="1"/>
  <c r="D14" i="114"/>
  <c r="E13" i="114"/>
  <c r="D13" i="114"/>
  <c r="E12" i="114"/>
  <c r="D12" i="114"/>
  <c r="E11" i="114"/>
  <c r="D11" i="114"/>
  <c r="F9" i="114"/>
  <c r="E9" i="114"/>
  <c r="D9" i="114"/>
  <c r="D52" i="113"/>
  <c r="E51" i="113"/>
  <c r="G51" i="113" s="1"/>
  <c r="D51" i="113"/>
  <c r="D36" i="113"/>
  <c r="G29" i="113"/>
  <c r="G28" i="113"/>
  <c r="F26" i="113"/>
  <c r="E27" i="113"/>
  <c r="E26" i="113" s="1"/>
  <c r="D27" i="113"/>
  <c r="D26" i="113" s="1"/>
  <c r="E25" i="113"/>
  <c r="D25" i="113"/>
  <c r="E24" i="113"/>
  <c r="E23" i="113"/>
  <c r="D23" i="113"/>
  <c r="E22" i="113"/>
  <c r="G22" i="113" s="1"/>
  <c r="E18" i="113"/>
  <c r="D18" i="113"/>
  <c r="E15" i="113"/>
  <c r="D15" i="113"/>
  <c r="E14" i="113"/>
  <c r="G14" i="113" s="1"/>
  <c r="D14" i="113"/>
  <c r="E13" i="113"/>
  <c r="D13" i="113"/>
  <c r="E12" i="113"/>
  <c r="D12" i="113"/>
  <c r="E11" i="113"/>
  <c r="D11" i="113"/>
  <c r="E9" i="113"/>
  <c r="D9" i="113"/>
  <c r="D52" i="112"/>
  <c r="E51" i="112"/>
  <c r="D51" i="112"/>
  <c r="F38" i="112"/>
  <c r="J38" i="17" s="1"/>
  <c r="E38" i="112"/>
  <c r="D36" i="112"/>
  <c r="G29" i="112"/>
  <c r="G28" i="112"/>
  <c r="F27" i="112"/>
  <c r="F26" i="112" s="1"/>
  <c r="E27" i="112"/>
  <c r="E26" i="112" s="1"/>
  <c r="D27" i="112"/>
  <c r="D26" i="112" s="1"/>
  <c r="E25" i="112"/>
  <c r="D25" i="112"/>
  <c r="F24" i="112"/>
  <c r="J24" i="17" s="1"/>
  <c r="I24" i="17" s="1"/>
  <c r="E24" i="112"/>
  <c r="J23" i="17"/>
  <c r="I23" i="17" s="1"/>
  <c r="E23" i="112"/>
  <c r="D23" i="112"/>
  <c r="E22" i="112"/>
  <c r="E18" i="112"/>
  <c r="D18" i="112"/>
  <c r="E15" i="112"/>
  <c r="D15" i="112"/>
  <c r="E14" i="112"/>
  <c r="D14" i="112"/>
  <c r="E13" i="112"/>
  <c r="D13" i="112"/>
  <c r="E12" i="112"/>
  <c r="D12" i="112"/>
  <c r="E11" i="112"/>
  <c r="D11" i="112"/>
  <c r="E9" i="112"/>
  <c r="D9" i="112"/>
  <c r="F62" i="111"/>
  <c r="E62" i="111"/>
  <c r="D62" i="111"/>
  <c r="E54" i="111"/>
  <c r="D54" i="111"/>
  <c r="E45" i="111"/>
  <c r="D45" i="111"/>
  <c r="D61" i="111" s="1"/>
  <c r="F33" i="111"/>
  <c r="E33" i="111"/>
  <c r="D33" i="111"/>
  <c r="E19" i="111"/>
  <c r="D19" i="111"/>
  <c r="F8" i="111"/>
  <c r="F42" i="111" s="1"/>
  <c r="E8" i="111"/>
  <c r="D8" i="111"/>
  <c r="D42" i="111" s="1"/>
  <c r="F62" i="110"/>
  <c r="E62" i="110"/>
  <c r="D62" i="110"/>
  <c r="F54" i="110"/>
  <c r="E54" i="110"/>
  <c r="D54" i="110"/>
  <c r="F45" i="110"/>
  <c r="E45" i="110"/>
  <c r="E61" i="110" s="1"/>
  <c r="D45" i="110"/>
  <c r="F29" i="110"/>
  <c r="E29" i="110"/>
  <c r="D29" i="110"/>
  <c r="E19" i="110"/>
  <c r="D19" i="110"/>
  <c r="F8" i="110"/>
  <c r="E8" i="110"/>
  <c r="D8" i="110"/>
  <c r="F64" i="109"/>
  <c r="E64" i="109"/>
  <c r="D64" i="109"/>
  <c r="F56" i="109"/>
  <c r="E56" i="109"/>
  <c r="D56" i="109"/>
  <c r="F47" i="109"/>
  <c r="E47" i="109"/>
  <c r="D47" i="109"/>
  <c r="F33" i="109"/>
  <c r="E33" i="109"/>
  <c r="D33" i="109"/>
  <c r="E19" i="109"/>
  <c r="D19" i="109"/>
  <c r="F8" i="109"/>
  <c r="F44" i="109" s="1"/>
  <c r="E8" i="109"/>
  <c r="D8" i="109"/>
  <c r="F62" i="108"/>
  <c r="E62" i="108"/>
  <c r="D62" i="108"/>
  <c r="F54" i="108"/>
  <c r="E54" i="108"/>
  <c r="D54" i="108"/>
  <c r="F45" i="108"/>
  <c r="E45" i="108"/>
  <c r="E61" i="108" s="1"/>
  <c r="D45" i="108"/>
  <c r="F33" i="108"/>
  <c r="E33" i="108"/>
  <c r="F19" i="108"/>
  <c r="E19" i="108"/>
  <c r="D19" i="108"/>
  <c r="F8" i="108"/>
  <c r="E8" i="108"/>
  <c r="E42" i="108" s="1"/>
  <c r="D8" i="108"/>
  <c r="F64" i="106"/>
  <c r="E64" i="106"/>
  <c r="D64" i="106"/>
  <c r="F56" i="106"/>
  <c r="E56" i="106"/>
  <c r="D56" i="106"/>
  <c r="F47" i="106"/>
  <c r="E47" i="106"/>
  <c r="D47" i="106"/>
  <c r="F33" i="106"/>
  <c r="E33" i="106"/>
  <c r="F19" i="106"/>
  <c r="E19" i="106"/>
  <c r="D19" i="106"/>
  <c r="F8" i="106"/>
  <c r="E8" i="106"/>
  <c r="D8" i="106"/>
  <c r="E50" i="105"/>
  <c r="F44" i="105"/>
  <c r="F57" i="105" s="1"/>
  <c r="E44" i="105"/>
  <c r="D44" i="105"/>
  <c r="D57" i="105" s="1"/>
  <c r="E36" i="105"/>
  <c r="D36" i="105"/>
  <c r="F19" i="105"/>
  <c r="E19" i="105"/>
  <c r="D19" i="105"/>
  <c r="F8" i="105"/>
  <c r="E8" i="105"/>
  <c r="D8" i="105"/>
  <c r="F50" i="104"/>
  <c r="E50" i="104"/>
  <c r="F44" i="104"/>
  <c r="E44" i="104"/>
  <c r="D44" i="104"/>
  <c r="D57" i="104" s="1"/>
  <c r="E36" i="104"/>
  <c r="D36" i="104"/>
  <c r="E19" i="104"/>
  <c r="D19" i="104"/>
  <c r="F8" i="104"/>
  <c r="F41" i="104" s="1"/>
  <c r="E8" i="104"/>
  <c r="E41" i="104" s="1"/>
  <c r="D8" i="104"/>
  <c r="F52" i="103"/>
  <c r="E52" i="103"/>
  <c r="F46" i="103"/>
  <c r="E46" i="103"/>
  <c r="D46" i="103"/>
  <c r="D59" i="103" s="1"/>
  <c r="F19" i="103"/>
  <c r="F43" i="103" s="1"/>
  <c r="E19" i="103"/>
  <c r="D19" i="103"/>
  <c r="F8" i="103"/>
  <c r="E8" i="103"/>
  <c r="D8" i="103"/>
  <c r="G51" i="102"/>
  <c r="F50" i="102"/>
  <c r="E50" i="102"/>
  <c r="D50" i="102"/>
  <c r="F44" i="102"/>
  <c r="E44" i="102"/>
  <c r="D44" i="102"/>
  <c r="G39" i="102"/>
  <c r="E36" i="102"/>
  <c r="D36" i="102"/>
  <c r="G20" i="102"/>
  <c r="E19" i="102"/>
  <c r="D19" i="102"/>
  <c r="F8" i="102"/>
  <c r="F41" i="102" s="1"/>
  <c r="E8" i="102"/>
  <c r="D8" i="102"/>
  <c r="D41" i="102" s="1"/>
  <c r="G51" i="101"/>
  <c r="E50" i="101"/>
  <c r="G50" i="101" s="1"/>
  <c r="D50" i="101"/>
  <c r="E44" i="101"/>
  <c r="D44" i="101"/>
  <c r="D57" i="101" s="1"/>
  <c r="G39" i="101"/>
  <c r="E36" i="101"/>
  <c r="D36" i="101"/>
  <c r="G20" i="101"/>
  <c r="E19" i="101"/>
  <c r="D19" i="101"/>
  <c r="F8" i="101"/>
  <c r="E8" i="101"/>
  <c r="D8" i="101"/>
  <c r="G53" i="100"/>
  <c r="F52" i="100"/>
  <c r="E52" i="100"/>
  <c r="D52" i="100"/>
  <c r="F46" i="100"/>
  <c r="E46" i="100"/>
  <c r="D46" i="100"/>
  <c r="G39" i="100"/>
  <c r="E36" i="100"/>
  <c r="D36" i="100"/>
  <c r="G20" i="100"/>
  <c r="E19" i="100"/>
  <c r="G19" i="100" s="1"/>
  <c r="D19" i="100"/>
  <c r="E8" i="100"/>
  <c r="E43" i="100" s="1"/>
  <c r="G43" i="100" s="1"/>
  <c r="D8" i="100"/>
  <c r="G55" i="98"/>
  <c r="F54" i="98"/>
  <c r="E54" i="98"/>
  <c r="D54" i="98"/>
  <c r="G51" i="98"/>
  <c r="G50" i="98"/>
  <c r="G49" i="98"/>
  <c r="F48" i="98"/>
  <c r="E48" i="98"/>
  <c r="D48" i="98"/>
  <c r="G43" i="98"/>
  <c r="G34" i="98"/>
  <c r="F33" i="98"/>
  <c r="E33" i="98"/>
  <c r="G33" i="98" s="1"/>
  <c r="D33" i="98"/>
  <c r="G20" i="98"/>
  <c r="F19" i="98"/>
  <c r="E19" i="98"/>
  <c r="D19" i="98"/>
  <c r="G14" i="98"/>
  <c r="G10" i="98"/>
  <c r="F8" i="98"/>
  <c r="G8" i="98" s="1"/>
  <c r="E8" i="98"/>
  <c r="D8" i="98"/>
  <c r="D45" i="98" s="1"/>
  <c r="G55" i="97"/>
  <c r="F54" i="97"/>
  <c r="G54" i="97" s="1"/>
  <c r="E54" i="97"/>
  <c r="D54" i="97"/>
  <c r="G51" i="97"/>
  <c r="G50" i="97"/>
  <c r="G49" i="97"/>
  <c r="F48" i="97"/>
  <c r="E48" i="97"/>
  <c r="D48" i="97"/>
  <c r="G43" i="97"/>
  <c r="G34" i="97"/>
  <c r="F33" i="97"/>
  <c r="E33" i="97"/>
  <c r="G33" i="97" s="1"/>
  <c r="D33" i="97"/>
  <c r="G20" i="97"/>
  <c r="F19" i="97"/>
  <c r="E19" i="97"/>
  <c r="D19" i="97"/>
  <c r="G14" i="97"/>
  <c r="G10" i="97"/>
  <c r="F8" i="97"/>
  <c r="F45" i="97" s="1"/>
  <c r="E8" i="97"/>
  <c r="D8" i="97"/>
  <c r="D45" i="97" s="1"/>
  <c r="G57" i="96"/>
  <c r="F56" i="96"/>
  <c r="G56" i="96" s="1"/>
  <c r="E56" i="96"/>
  <c r="D56" i="96"/>
  <c r="G53" i="96"/>
  <c r="G52" i="96"/>
  <c r="G51" i="96"/>
  <c r="F50" i="96"/>
  <c r="E50" i="96"/>
  <c r="D50" i="96"/>
  <c r="D63" i="96" s="1"/>
  <c r="G43" i="96"/>
  <c r="G34" i="96"/>
  <c r="F33" i="96"/>
  <c r="E33" i="96"/>
  <c r="D33" i="96"/>
  <c r="G20" i="96"/>
  <c r="F19" i="96"/>
  <c r="F47" i="96" s="1"/>
  <c r="E19" i="96"/>
  <c r="D19" i="96"/>
  <c r="G14" i="96"/>
  <c r="G10" i="96"/>
  <c r="F8" i="96"/>
  <c r="E8" i="96"/>
  <c r="D8" i="96"/>
  <c r="D47" i="96" s="1"/>
  <c r="F54" i="95"/>
  <c r="E54" i="95"/>
  <c r="D54" i="95"/>
  <c r="G51" i="95"/>
  <c r="G50" i="95"/>
  <c r="G49" i="95"/>
  <c r="F48" i="95"/>
  <c r="E48" i="95"/>
  <c r="D48" i="95"/>
  <c r="D61" i="95" s="1"/>
  <c r="G43" i="95"/>
  <c r="F33" i="95"/>
  <c r="E33" i="95"/>
  <c r="D33" i="95"/>
  <c r="G20" i="95"/>
  <c r="F19" i="95"/>
  <c r="E19" i="95"/>
  <c r="D19" i="95"/>
  <c r="G14" i="95"/>
  <c r="F8" i="95"/>
  <c r="E8" i="95"/>
  <c r="D8" i="95"/>
  <c r="D45" i="95" s="1"/>
  <c r="F54" i="94"/>
  <c r="E54" i="94"/>
  <c r="D54" i="94"/>
  <c r="G51" i="94"/>
  <c r="G50" i="94"/>
  <c r="G49" i="94"/>
  <c r="F48" i="94"/>
  <c r="E48" i="94"/>
  <c r="D48" i="94"/>
  <c r="G43" i="94"/>
  <c r="F33" i="94"/>
  <c r="E33" i="94"/>
  <c r="D33" i="94"/>
  <c r="G20" i="94"/>
  <c r="F19" i="94"/>
  <c r="E19" i="94"/>
  <c r="D19" i="94"/>
  <c r="G14" i="94"/>
  <c r="F8" i="94"/>
  <c r="E8" i="94"/>
  <c r="D8" i="94"/>
  <c r="D45" i="94" s="1"/>
  <c r="F56" i="93"/>
  <c r="E56" i="93"/>
  <c r="D56" i="93"/>
  <c r="G53" i="93"/>
  <c r="G52" i="93"/>
  <c r="G51" i="93"/>
  <c r="F50" i="93"/>
  <c r="E50" i="93"/>
  <c r="D50" i="93"/>
  <c r="D63" i="93" s="1"/>
  <c r="G43" i="93"/>
  <c r="F33" i="93"/>
  <c r="E33" i="93"/>
  <c r="D33" i="93"/>
  <c r="G20" i="93"/>
  <c r="F19" i="93"/>
  <c r="E19" i="93"/>
  <c r="D19" i="93"/>
  <c r="G14" i="93"/>
  <c r="F8" i="93"/>
  <c r="E8" i="93"/>
  <c r="E47" i="93" s="1"/>
  <c r="D8" i="93"/>
  <c r="G37" i="92"/>
  <c r="G36" i="92"/>
  <c r="G35" i="92"/>
  <c r="G29" i="92"/>
  <c r="G20" i="92"/>
  <c r="G19" i="92"/>
  <c r="G14" i="92"/>
  <c r="G11" i="92"/>
  <c r="G10" i="92"/>
  <c r="F55" i="91"/>
  <c r="E55" i="91"/>
  <c r="D55" i="91"/>
  <c r="G51" i="91"/>
  <c r="G50" i="91"/>
  <c r="G49" i="91"/>
  <c r="F48" i="91"/>
  <c r="E48" i="91"/>
  <c r="D48" i="91"/>
  <c r="D63" i="91" s="1"/>
  <c r="G43" i="91"/>
  <c r="F33" i="91"/>
  <c r="E33" i="91"/>
  <c r="D33" i="91"/>
  <c r="G20" i="91"/>
  <c r="F19" i="91"/>
  <c r="E19" i="91"/>
  <c r="D19" i="91"/>
  <c r="G14" i="91"/>
  <c r="G11" i="91"/>
  <c r="G10" i="91"/>
  <c r="F8" i="91"/>
  <c r="F45" i="91" s="1"/>
  <c r="E8" i="91"/>
  <c r="E45" i="91" s="1"/>
  <c r="D8" i="91"/>
  <c r="E57" i="90"/>
  <c r="D57" i="90"/>
  <c r="G53" i="90"/>
  <c r="G52" i="90"/>
  <c r="G51" i="90"/>
  <c r="E50" i="90"/>
  <c r="D50" i="90"/>
  <c r="G43" i="90"/>
  <c r="F33" i="90"/>
  <c r="E33" i="90"/>
  <c r="D33" i="90"/>
  <c r="G20" i="90"/>
  <c r="F19" i="90"/>
  <c r="E19" i="90"/>
  <c r="D19" i="90"/>
  <c r="G14" i="90"/>
  <c r="G11" i="90"/>
  <c r="G10" i="90"/>
  <c r="F8" i="90"/>
  <c r="F47" i="90" s="1"/>
  <c r="E8" i="90"/>
  <c r="E47" i="90" s="1"/>
  <c r="D8" i="90"/>
  <c r="F20" i="113" l="1"/>
  <c r="F33" i="135"/>
  <c r="F32" i="135" s="1"/>
  <c r="F37" i="135"/>
  <c r="L39" i="34"/>
  <c r="K39" i="34" s="1"/>
  <c r="F39" i="112"/>
  <c r="F35" i="136" s="1"/>
  <c r="K36" i="136" s="1"/>
  <c r="F36" i="84"/>
  <c r="G42" i="135"/>
  <c r="F41" i="135"/>
  <c r="L24" i="34"/>
  <c r="F19" i="84"/>
  <c r="I57" i="36"/>
  <c r="I45" i="36"/>
  <c r="I46" i="36"/>
  <c r="I47" i="36"/>
  <c r="I51" i="36"/>
  <c r="D43" i="100"/>
  <c r="D59" i="100"/>
  <c r="D57" i="102"/>
  <c r="I41" i="102" s="1"/>
  <c r="D61" i="97"/>
  <c r="E45" i="97"/>
  <c r="D61" i="98"/>
  <c r="I45" i="98" s="1"/>
  <c r="E45" i="98"/>
  <c r="G19" i="93"/>
  <c r="D61" i="94"/>
  <c r="F18" i="112"/>
  <c r="J18" i="17" s="1"/>
  <c r="I18" i="17" s="1"/>
  <c r="F47" i="112"/>
  <c r="F50" i="112"/>
  <c r="F45" i="136" s="1"/>
  <c r="K45" i="124" s="1"/>
  <c r="E42" i="111"/>
  <c r="F15" i="112"/>
  <c r="J15" i="17" s="1"/>
  <c r="F53" i="112"/>
  <c r="F63" i="91"/>
  <c r="E63" i="91"/>
  <c r="D65" i="90"/>
  <c r="E65" i="90"/>
  <c r="G19" i="90"/>
  <c r="G50" i="90"/>
  <c r="D45" i="91"/>
  <c r="G19" i="91"/>
  <c r="G48" i="91"/>
  <c r="F45" i="94"/>
  <c r="E45" i="95"/>
  <c r="G8" i="96"/>
  <c r="G54" i="98"/>
  <c r="G52" i="100"/>
  <c r="D41" i="101"/>
  <c r="E41" i="101"/>
  <c r="E57" i="101"/>
  <c r="E57" i="102"/>
  <c r="G48" i="114"/>
  <c r="D47" i="90"/>
  <c r="G31" i="92"/>
  <c r="D47" i="93"/>
  <c r="G50" i="93"/>
  <c r="E45" i="94"/>
  <c r="F45" i="95"/>
  <c r="E47" i="96"/>
  <c r="G19" i="96"/>
  <c r="G19" i="97"/>
  <c r="G19" i="98"/>
  <c r="E59" i="100"/>
  <c r="E41" i="102"/>
  <c r="D41" i="104"/>
  <c r="E41" i="105"/>
  <c r="D41" i="105"/>
  <c r="G19" i="105"/>
  <c r="G64" i="109"/>
  <c r="F42" i="110"/>
  <c r="D61" i="110"/>
  <c r="F14" i="112"/>
  <c r="J14" i="17" s="1"/>
  <c r="F12" i="112"/>
  <c r="F10" i="112"/>
  <c r="F48" i="112"/>
  <c r="I21" i="36"/>
  <c r="I18" i="36"/>
  <c r="F13" i="112"/>
  <c r="F11" i="112"/>
  <c r="J11" i="17" s="1"/>
  <c r="F22" i="112"/>
  <c r="F20" i="112" s="1"/>
  <c r="F49" i="112"/>
  <c r="G33" i="96"/>
  <c r="F61" i="95"/>
  <c r="K43" i="95" s="1"/>
  <c r="F61" i="98"/>
  <c r="F61" i="97"/>
  <c r="F63" i="96"/>
  <c r="E61" i="95"/>
  <c r="G61" i="95" s="1"/>
  <c r="E61" i="94"/>
  <c r="E63" i="93"/>
  <c r="E61" i="98"/>
  <c r="E61" i="97"/>
  <c r="E63" i="96"/>
  <c r="F61" i="110"/>
  <c r="F44" i="106"/>
  <c r="F61" i="108"/>
  <c r="G61" i="108" s="1"/>
  <c r="F42" i="108"/>
  <c r="G42" i="108" s="1"/>
  <c r="G41" i="104"/>
  <c r="G41" i="102"/>
  <c r="D43" i="103"/>
  <c r="E43" i="103"/>
  <c r="G43" i="103" s="1"/>
  <c r="G19" i="103"/>
  <c r="G50" i="102"/>
  <c r="G57" i="101"/>
  <c r="F59" i="100"/>
  <c r="G59" i="100" s="1"/>
  <c r="E57" i="105"/>
  <c r="E57" i="104"/>
  <c r="F59" i="103"/>
  <c r="E59" i="103"/>
  <c r="E44" i="106"/>
  <c r="E63" i="106"/>
  <c r="F63" i="106"/>
  <c r="D44" i="106"/>
  <c r="G19" i="106"/>
  <c r="D63" i="106"/>
  <c r="G64" i="106"/>
  <c r="D42" i="108"/>
  <c r="D61" i="108"/>
  <c r="G62" i="111"/>
  <c r="E61" i="111"/>
  <c r="G42" i="111"/>
  <c r="E42" i="110"/>
  <c r="D42" i="110"/>
  <c r="G18" i="114"/>
  <c r="J27" i="17"/>
  <c r="J26" i="17"/>
  <c r="E44" i="109"/>
  <c r="E63" i="109"/>
  <c r="F63" i="109"/>
  <c r="I36" i="109" s="1"/>
  <c r="D63" i="109"/>
  <c r="G56" i="109"/>
  <c r="D44" i="109"/>
  <c r="G23" i="112"/>
  <c r="G51" i="112"/>
  <c r="G18" i="113"/>
  <c r="G23" i="113"/>
  <c r="G62" i="110"/>
  <c r="G54" i="110"/>
  <c r="G42" i="110"/>
  <c r="G19" i="110"/>
  <c r="G61" i="111"/>
  <c r="G54" i="111"/>
  <c r="G59" i="107"/>
  <c r="G19" i="107"/>
  <c r="G62" i="108"/>
  <c r="G19" i="108"/>
  <c r="F57" i="104"/>
  <c r="F57" i="102"/>
  <c r="F61" i="94"/>
  <c r="G27" i="112"/>
  <c r="G26" i="112"/>
  <c r="G11" i="113"/>
  <c r="G13" i="113"/>
  <c r="G27" i="113"/>
  <c r="G11" i="114"/>
  <c r="G13" i="114"/>
  <c r="G27" i="114"/>
  <c r="G26" i="113"/>
  <c r="G26" i="114"/>
  <c r="G19" i="111"/>
  <c r="G45" i="111"/>
  <c r="G61" i="110"/>
  <c r="G45" i="110"/>
  <c r="G19" i="109"/>
  <c r="G47" i="109"/>
  <c r="G45" i="108"/>
  <c r="G42" i="107"/>
  <c r="G47" i="106"/>
  <c r="I41" i="105"/>
  <c r="F41" i="105"/>
  <c r="G44" i="105"/>
  <c r="I41" i="104"/>
  <c r="G19" i="104"/>
  <c r="G44" i="104"/>
  <c r="I43" i="103"/>
  <c r="G46" i="103"/>
  <c r="G19" i="102"/>
  <c r="G44" i="102"/>
  <c r="I41" i="101"/>
  <c r="G19" i="101"/>
  <c r="G44" i="101"/>
  <c r="I43" i="100"/>
  <c r="G46" i="100"/>
  <c r="F45" i="98"/>
  <c r="G45" i="98" s="1"/>
  <c r="G48" i="98"/>
  <c r="G45" i="97"/>
  <c r="I45" i="97"/>
  <c r="G8" i="97"/>
  <c r="G48" i="97"/>
  <c r="I47" i="96"/>
  <c r="G47" i="96"/>
  <c r="G50" i="96"/>
  <c r="G19" i="95"/>
  <c r="G48" i="95"/>
  <c r="G8" i="95"/>
  <c r="G19" i="94"/>
  <c r="G48" i="94"/>
  <c r="G8" i="94"/>
  <c r="G8" i="93"/>
  <c r="F47" i="93"/>
  <c r="G47" i="93" s="1"/>
  <c r="F63" i="93"/>
  <c r="G47" i="92"/>
  <c r="J29" i="92"/>
  <c r="G34" i="92"/>
  <c r="G8" i="92"/>
  <c r="G8" i="91"/>
  <c r="G45" i="91"/>
  <c r="G8" i="90"/>
  <c r="G47" i="90"/>
  <c r="F65" i="90"/>
  <c r="F37" i="136" l="1"/>
  <c r="K37" i="124" s="1"/>
  <c r="K35" i="124"/>
  <c r="F19" i="113"/>
  <c r="F26" i="135" s="1"/>
  <c r="G26" i="135" s="1"/>
  <c r="G20" i="113"/>
  <c r="K43" i="94"/>
  <c r="J50" i="17"/>
  <c r="I50" i="17" s="1"/>
  <c r="J39" i="17"/>
  <c r="J48" i="17"/>
  <c r="F33" i="136"/>
  <c r="K33" i="124" s="1"/>
  <c r="J49" i="17"/>
  <c r="F44" i="136"/>
  <c r="K44" i="124" s="1"/>
  <c r="J53" i="17"/>
  <c r="F57" i="136"/>
  <c r="J47" i="17"/>
  <c r="F42" i="136"/>
  <c r="K42" i="124" s="1"/>
  <c r="J20" i="17"/>
  <c r="G20" i="112"/>
  <c r="G18" i="112"/>
  <c r="G41" i="105"/>
  <c r="I39" i="100"/>
  <c r="G22" i="112"/>
  <c r="J22" i="17"/>
  <c r="I22" i="17" s="1"/>
  <c r="J10" i="17"/>
  <c r="J13" i="17"/>
  <c r="J12" i="17"/>
  <c r="G63" i="106"/>
  <c r="I36" i="106"/>
  <c r="G45" i="95"/>
  <c r="G45" i="94"/>
  <c r="G11" i="112"/>
  <c r="G13" i="112"/>
  <c r="G59" i="103"/>
  <c r="G61" i="97"/>
  <c r="G14" i="112"/>
  <c r="J43" i="96"/>
  <c r="G61" i="94"/>
  <c r="G61" i="98"/>
  <c r="J43" i="97"/>
  <c r="G63" i="96"/>
  <c r="G44" i="106"/>
  <c r="I39" i="104"/>
  <c r="I39" i="102"/>
  <c r="I39" i="105"/>
  <c r="G57" i="102"/>
  <c r="G57" i="105"/>
  <c r="G57" i="104"/>
  <c r="G58" i="107"/>
  <c r="G39" i="107"/>
  <c r="I36" i="108"/>
  <c r="I38" i="111"/>
  <c r="G63" i="109"/>
  <c r="G44" i="109"/>
  <c r="I33" i="110"/>
  <c r="I33" i="107"/>
  <c r="J43" i="98"/>
  <c r="I39" i="103"/>
  <c r="G63" i="93"/>
  <c r="K43" i="93"/>
  <c r="G63" i="91"/>
  <c r="J43" i="91"/>
  <c r="G65" i="90"/>
  <c r="J43" i="90"/>
  <c r="G42" i="136" l="1"/>
  <c r="F56" i="136"/>
  <c r="F32" i="136"/>
  <c r="K32" i="124" s="1"/>
  <c r="F49" i="89"/>
  <c r="E49" i="89"/>
  <c r="D49" i="89"/>
  <c r="G46" i="89"/>
  <c r="G45" i="89"/>
  <c r="G44" i="89"/>
  <c r="F43" i="89"/>
  <c r="E43" i="89"/>
  <c r="E53" i="89" s="1"/>
  <c r="D43" i="89"/>
  <c r="D53" i="89" s="1"/>
  <c r="G39" i="89"/>
  <c r="F36" i="89"/>
  <c r="E36" i="89"/>
  <c r="D36" i="89"/>
  <c r="G20" i="89"/>
  <c r="F19" i="89"/>
  <c r="E19" i="89"/>
  <c r="D19" i="89"/>
  <c r="G11" i="89"/>
  <c r="G10" i="89"/>
  <c r="F8" i="89"/>
  <c r="E8" i="89"/>
  <c r="D8" i="89"/>
  <c r="D40" i="89" s="1"/>
  <c r="F51" i="88"/>
  <c r="E51" i="88"/>
  <c r="D51" i="88"/>
  <c r="G48" i="88"/>
  <c r="G47" i="88"/>
  <c r="G46" i="88"/>
  <c r="F45" i="88"/>
  <c r="E45" i="88"/>
  <c r="D45" i="88"/>
  <c r="D55" i="88" s="1"/>
  <c r="G39" i="88"/>
  <c r="F36" i="88"/>
  <c r="E36" i="88"/>
  <c r="D36" i="88"/>
  <c r="G20" i="88"/>
  <c r="F19" i="88"/>
  <c r="G19" i="88" s="1"/>
  <c r="E19" i="88"/>
  <c r="D19" i="88"/>
  <c r="G11" i="88"/>
  <c r="G10" i="88"/>
  <c r="F8" i="88"/>
  <c r="E8" i="88"/>
  <c r="E42" i="88" s="1"/>
  <c r="D8" i="88"/>
  <c r="F51" i="87"/>
  <c r="E51" i="87"/>
  <c r="D51" i="87"/>
  <c r="G48" i="87"/>
  <c r="G47" i="87"/>
  <c r="G46" i="87"/>
  <c r="F45" i="87"/>
  <c r="F55" i="87" s="1"/>
  <c r="E45" i="87"/>
  <c r="E55" i="87" s="1"/>
  <c r="D45" i="87"/>
  <c r="D55" i="87" s="1"/>
  <c r="E36" i="87"/>
  <c r="D36" i="87"/>
  <c r="G20" i="87"/>
  <c r="F19" i="87"/>
  <c r="E19" i="87"/>
  <c r="D19" i="87"/>
  <c r="G11" i="87"/>
  <c r="G10" i="87"/>
  <c r="F8" i="87"/>
  <c r="E8" i="87"/>
  <c r="D8" i="87"/>
  <c r="D42" i="87" s="1"/>
  <c r="F50" i="86"/>
  <c r="E50" i="86"/>
  <c r="D50" i="86"/>
  <c r="G49" i="86"/>
  <c r="G47" i="86"/>
  <c r="G46" i="86"/>
  <c r="G45" i="86"/>
  <c r="F44" i="86"/>
  <c r="E44" i="86"/>
  <c r="D44" i="86"/>
  <c r="D54" i="86" s="1"/>
  <c r="G39" i="86"/>
  <c r="F36" i="86"/>
  <c r="E36" i="86"/>
  <c r="D36" i="86"/>
  <c r="G24" i="86"/>
  <c r="G20" i="86"/>
  <c r="F19" i="86"/>
  <c r="E19" i="86"/>
  <c r="D19" i="86"/>
  <c r="F8" i="86"/>
  <c r="E8" i="86"/>
  <c r="D8" i="86"/>
  <c r="D41" i="86" s="1"/>
  <c r="F51" i="85"/>
  <c r="E51" i="85"/>
  <c r="D51" i="85"/>
  <c r="G50" i="85"/>
  <c r="G48" i="85"/>
  <c r="G47" i="85"/>
  <c r="G46" i="85"/>
  <c r="F45" i="85"/>
  <c r="F55" i="85" s="1"/>
  <c r="E45" i="85"/>
  <c r="D45" i="85"/>
  <c r="D55" i="85" s="1"/>
  <c r="G39" i="85"/>
  <c r="E36" i="85"/>
  <c r="D36" i="85"/>
  <c r="G24" i="85"/>
  <c r="G20" i="85"/>
  <c r="F42" i="85"/>
  <c r="E19" i="85"/>
  <c r="D19" i="85"/>
  <c r="F8" i="85"/>
  <c r="E8" i="85"/>
  <c r="D8" i="85"/>
  <c r="D42" i="85" s="1"/>
  <c r="F51" i="84"/>
  <c r="L51" i="34" s="1"/>
  <c r="E51" i="84"/>
  <c r="D51" i="84"/>
  <c r="G50" i="84"/>
  <c r="G48" i="84"/>
  <c r="G47" i="84"/>
  <c r="G46" i="84"/>
  <c r="F45" i="84"/>
  <c r="E45" i="84"/>
  <c r="E55" i="84" s="1"/>
  <c r="D45" i="84"/>
  <c r="G39" i="84"/>
  <c r="L36" i="34"/>
  <c r="K36" i="34" s="1"/>
  <c r="E36" i="84"/>
  <c r="D36" i="84"/>
  <c r="G24" i="84"/>
  <c r="G20" i="84"/>
  <c r="E19" i="84"/>
  <c r="D19" i="84"/>
  <c r="F8" i="84"/>
  <c r="E8" i="84"/>
  <c r="D8" i="84"/>
  <c r="D42" i="84" s="1"/>
  <c r="F42" i="87" l="1"/>
  <c r="L19" i="34"/>
  <c r="F42" i="84"/>
  <c r="E55" i="85"/>
  <c r="L45" i="34"/>
  <c r="K45" i="34" s="1"/>
  <c r="F55" i="84"/>
  <c r="L8" i="34"/>
  <c r="G8" i="89"/>
  <c r="G45" i="88"/>
  <c r="G55" i="87"/>
  <c r="E42" i="85"/>
  <c r="D55" i="84"/>
  <c r="G19" i="85"/>
  <c r="E41" i="86"/>
  <c r="G19" i="86"/>
  <c r="E54" i="86"/>
  <c r="G54" i="86" s="1"/>
  <c r="E42" i="87"/>
  <c r="D42" i="88"/>
  <c r="E55" i="88"/>
  <c r="E40" i="89"/>
  <c r="G19" i="89"/>
  <c r="G43" i="89"/>
  <c r="G8" i="84"/>
  <c r="I39" i="85"/>
  <c r="F42" i="88"/>
  <c r="G42" i="88" s="1"/>
  <c r="G19" i="87"/>
  <c r="F41" i="86"/>
  <c r="I39" i="86" s="1"/>
  <c r="G19" i="84"/>
  <c r="F40" i="89"/>
  <c r="G8" i="88"/>
  <c r="G8" i="87"/>
  <c r="G45" i="87"/>
  <c r="G44" i="86"/>
  <c r="G8" i="86"/>
  <c r="G42" i="85"/>
  <c r="G45" i="85"/>
  <c r="G8" i="85"/>
  <c r="E42" i="84"/>
  <c r="G45" i="84"/>
  <c r="D49" i="83"/>
  <c r="F43" i="83"/>
  <c r="D36" i="83"/>
  <c r="G26" i="83"/>
  <c r="F25" i="83"/>
  <c r="F19" i="83" s="1"/>
  <c r="G22" i="83"/>
  <c r="F8" i="83"/>
  <c r="D49" i="82"/>
  <c r="F43" i="82"/>
  <c r="D36" i="82"/>
  <c r="G26" i="82"/>
  <c r="F25" i="82"/>
  <c r="F19" i="82" s="1"/>
  <c r="G22" i="82"/>
  <c r="F8" i="82"/>
  <c r="D49" i="81"/>
  <c r="D36" i="81"/>
  <c r="G26" i="81"/>
  <c r="F25" i="81"/>
  <c r="G22" i="81"/>
  <c r="F8" i="81"/>
  <c r="I39" i="84" l="1"/>
  <c r="I25" i="36"/>
  <c r="I8" i="36"/>
  <c r="G41" i="86"/>
  <c r="I39" i="88"/>
  <c r="G55" i="84"/>
  <c r="L55" i="34"/>
  <c r="K55" i="34" s="1"/>
  <c r="G42" i="84"/>
  <c r="L42" i="34"/>
  <c r="K42" i="34" s="1"/>
  <c r="F19" i="81"/>
  <c r="I44" i="36"/>
  <c r="G55" i="88"/>
  <c r="G40" i="89"/>
  <c r="G55" i="85"/>
  <c r="G53" i="89"/>
  <c r="I39" i="89"/>
  <c r="D30" i="52"/>
  <c r="D28" i="52" s="1"/>
  <c r="D17" i="52"/>
  <c r="D16" i="52" s="1"/>
  <c r="D13" i="52"/>
  <c r="D3" i="52" s="1"/>
  <c r="F76" i="5"/>
  <c r="I76" i="5" s="1"/>
  <c r="D66" i="52" l="1"/>
  <c r="I19" i="36"/>
  <c r="H4" i="57"/>
  <c r="F47" i="25" l="1"/>
  <c r="F40" i="78"/>
  <c r="E40" i="78"/>
  <c r="D40" i="78"/>
  <c r="F58" i="78"/>
  <c r="F47" i="78"/>
  <c r="F45" i="78"/>
  <c r="F44" i="78" s="1"/>
  <c r="F43" i="78" s="1"/>
  <c r="F39" i="78"/>
  <c r="F37" i="78"/>
  <c r="F36" i="78"/>
  <c r="F35" i="78"/>
  <c r="F34" i="78"/>
  <c r="F33" i="78"/>
  <c r="F30" i="78"/>
  <c r="F26" i="78"/>
  <c r="F25" i="78"/>
  <c r="F23" i="78"/>
  <c r="F22" i="78"/>
  <c r="F20" i="78"/>
  <c r="F19" i="78"/>
  <c r="F18" i="78"/>
  <c r="F13" i="78"/>
  <c r="F14" i="78" s="1"/>
  <c r="F4" i="78" s="1"/>
  <c r="F5" i="78"/>
  <c r="F11" i="78" s="1"/>
  <c r="F21" i="78" l="1"/>
  <c r="F24" i="78"/>
  <c r="F27" i="78"/>
  <c r="F17" i="78"/>
  <c r="F16" i="78"/>
  <c r="F15" i="78" s="1"/>
  <c r="E50" i="78" s="1"/>
  <c r="F31" i="78"/>
  <c r="F46" i="78" l="1"/>
  <c r="F63" i="5" l="1"/>
  <c r="I63" i="5" s="1"/>
  <c r="G9" i="6" l="1"/>
  <c r="L68" i="6" l="1"/>
  <c r="G175" i="7" l="1"/>
  <c r="H4" i="58"/>
  <c r="G3" i="41"/>
  <c r="G172" i="7" l="1"/>
  <c r="F47" i="9"/>
  <c r="G52" i="7"/>
  <c r="K58" i="37" l="1"/>
  <c r="K69" i="37" s="1"/>
  <c r="J4" i="40"/>
  <c r="J60" i="40"/>
  <c r="J71" i="40" l="1"/>
  <c r="J37" i="40"/>
  <c r="J151" i="58" l="1"/>
  <c r="C20" i="2" l="1"/>
  <c r="G101" i="6" l="1"/>
  <c r="F101" i="6"/>
  <c r="G132" i="6"/>
  <c r="F132" i="6"/>
  <c r="E223" i="7"/>
  <c r="F29" i="5" l="1"/>
  <c r="F30" i="124"/>
  <c r="E10" i="77"/>
  <c r="H5" i="77"/>
  <c r="G5" i="77"/>
  <c r="F5" i="77"/>
  <c r="E5" i="77"/>
  <c r="I19" i="76"/>
  <c r="I18" i="76"/>
  <c r="H17" i="76"/>
  <c r="G17" i="76"/>
  <c r="F17" i="76"/>
  <c r="E17" i="76"/>
  <c r="D17" i="76"/>
  <c r="I16" i="76"/>
  <c r="H15" i="76"/>
  <c r="F15" i="76"/>
  <c r="E15" i="76"/>
  <c r="D15" i="76"/>
  <c r="I14" i="76"/>
  <c r="H13" i="76"/>
  <c r="D13" i="76"/>
  <c r="I12" i="76"/>
  <c r="I11" i="76"/>
  <c r="I10" i="76"/>
  <c r="I9" i="76"/>
  <c r="M8" i="76"/>
  <c r="I8" i="76"/>
  <c r="H7" i="76"/>
  <c r="G7" i="76"/>
  <c r="F7" i="76"/>
  <c r="I6" i="76"/>
  <c r="H5" i="76"/>
  <c r="F5" i="76"/>
  <c r="E5" i="76"/>
  <c r="D5" i="76"/>
  <c r="K151" i="58"/>
  <c r="L159" i="58"/>
  <c r="H17" i="77" l="1"/>
  <c r="G17" i="77"/>
  <c r="F17" i="77"/>
  <c r="E17" i="77"/>
  <c r="E6" i="3"/>
  <c r="G30" i="124"/>
  <c r="H20" i="76"/>
  <c r="F20" i="76"/>
  <c r="I15" i="76"/>
  <c r="I17" i="76"/>
  <c r="G20" i="76"/>
  <c r="D20" i="76"/>
  <c r="I7" i="76"/>
  <c r="I13" i="76"/>
  <c r="I5" i="76"/>
  <c r="L158" i="58"/>
  <c r="I20" i="76" l="1"/>
  <c r="U128" i="37"/>
  <c r="T112" i="37" l="1"/>
  <c r="J173" i="37"/>
  <c r="L43" i="37"/>
  <c r="K12" i="37"/>
  <c r="K11" i="37" s="1"/>
  <c r="S13" i="37"/>
  <c r="J12" i="37"/>
  <c r="J11" i="37" s="1"/>
  <c r="L17" i="37"/>
  <c r="I54" i="36" l="1"/>
  <c r="H140" i="6" l="1"/>
  <c r="F27" i="7" l="1"/>
  <c r="G27" i="7"/>
  <c r="E149" i="7"/>
  <c r="D61" i="136" l="1"/>
  <c r="D61" i="135"/>
  <c r="D61" i="134"/>
  <c r="D56" i="129"/>
  <c r="D56" i="130"/>
  <c r="D56" i="128"/>
  <c r="D61" i="124"/>
  <c r="E51" i="136"/>
  <c r="G51" i="136" s="1"/>
  <c r="E51" i="134"/>
  <c r="G51" i="134" s="1"/>
  <c r="E51" i="135"/>
  <c r="G51" i="135" s="1"/>
  <c r="E46" i="129"/>
  <c r="G46" i="129" s="1"/>
  <c r="E46" i="130"/>
  <c r="G46" i="130" s="1"/>
  <c r="E46" i="128"/>
  <c r="G46" i="128" s="1"/>
  <c r="E51" i="124"/>
  <c r="G51" i="124" s="1"/>
  <c r="F47" i="124"/>
  <c r="I47" i="124" s="1"/>
  <c r="F42" i="5"/>
  <c r="I42" i="5" s="1"/>
  <c r="L60" i="7"/>
  <c r="K60" i="7"/>
  <c r="I180" i="58" l="1"/>
  <c r="I181" i="58"/>
  <c r="I182" i="58"/>
  <c r="H183" i="58"/>
  <c r="F183" i="58"/>
  <c r="H84" i="6"/>
  <c r="H85" i="6"/>
  <c r="I183" i="58" l="1"/>
  <c r="F25" i="36"/>
  <c r="F25" i="17" s="1"/>
  <c r="G25" i="17" l="1"/>
  <c r="G25" i="114"/>
  <c r="G25" i="113"/>
  <c r="F25" i="112"/>
  <c r="F19" i="112" s="1"/>
  <c r="F26" i="136" s="1"/>
  <c r="K26" i="124" s="1"/>
  <c r="G117" i="6"/>
  <c r="F117" i="6"/>
  <c r="E117" i="6"/>
  <c r="G115" i="6"/>
  <c r="F115" i="6"/>
  <c r="E115" i="6"/>
  <c r="G26" i="136" l="1"/>
  <c r="J19" i="17"/>
  <c r="J25" i="17"/>
  <c r="I25" i="17" s="1"/>
  <c r="G25" i="112"/>
  <c r="F82" i="6"/>
  <c r="F80" i="6" s="1"/>
  <c r="H83" i="6"/>
  <c r="H148" i="7"/>
  <c r="H82" i="6" l="1"/>
  <c r="F143" i="6"/>
  <c r="G143" i="6"/>
  <c r="E143" i="6"/>
  <c r="G92" i="6"/>
  <c r="F92" i="6"/>
  <c r="K80" i="58" l="1"/>
  <c r="K73" i="58"/>
  <c r="K38" i="58"/>
  <c r="K4" i="58"/>
  <c r="L34" i="58"/>
  <c r="J4" i="58"/>
  <c r="J38" i="58"/>
  <c r="J80" i="58"/>
  <c r="L99" i="58"/>
  <c r="L98" i="58"/>
  <c r="L97" i="58"/>
  <c r="L96" i="58"/>
  <c r="L101" i="58"/>
  <c r="L100" i="58"/>
  <c r="L102" i="58"/>
  <c r="E61" i="58"/>
  <c r="E62" i="58"/>
  <c r="L142" i="58"/>
  <c r="I115" i="58"/>
  <c r="I116" i="58"/>
  <c r="I117" i="58"/>
  <c r="L141" i="58"/>
  <c r="K126" i="58"/>
  <c r="J126" i="58"/>
  <c r="K123" i="58"/>
  <c r="J123" i="58"/>
  <c r="L121" i="58"/>
  <c r="J105" i="58"/>
  <c r="F136" i="6" l="1"/>
  <c r="G136" i="6"/>
  <c r="F175" i="7"/>
  <c r="F135" i="6" l="1"/>
  <c r="G135" i="6"/>
  <c r="F15" i="17"/>
  <c r="I15" i="17" s="1"/>
  <c r="F31" i="124" l="1"/>
  <c r="F30" i="5"/>
  <c r="F27" i="5" s="1"/>
  <c r="G149" i="6"/>
  <c r="J55" i="40"/>
  <c r="E8" i="3" l="1"/>
  <c r="F28" i="124"/>
  <c r="G28" i="124" s="1"/>
  <c r="L106" i="58"/>
  <c r="L111" i="58"/>
  <c r="L113" i="58"/>
  <c r="J73" i="58" l="1"/>
  <c r="E133" i="58"/>
  <c r="E129" i="58" l="1"/>
  <c r="E119" i="58"/>
  <c r="E151" i="58"/>
  <c r="E135" i="58"/>
  <c r="E38" i="58"/>
  <c r="E80" i="58"/>
  <c r="K133" i="58" l="1"/>
  <c r="H70" i="33" l="1"/>
  <c r="G14" i="33"/>
  <c r="H21" i="33"/>
  <c r="F9" i="33"/>
  <c r="C26" i="2" l="1"/>
  <c r="G17" i="6" l="1"/>
  <c r="G16" i="6" s="1"/>
  <c r="G15" i="6" s="1"/>
  <c r="H112" i="6" l="1"/>
  <c r="H119" i="6"/>
  <c r="H120" i="6"/>
  <c r="H121" i="6"/>
  <c r="H122" i="6"/>
  <c r="H123" i="6"/>
  <c r="H124" i="6"/>
  <c r="H125" i="6"/>
  <c r="H126" i="6"/>
  <c r="H127" i="6"/>
  <c r="H128" i="6"/>
  <c r="H129" i="6"/>
  <c r="H133" i="6"/>
  <c r="E4" i="58" l="1"/>
  <c r="H12" i="2" l="1"/>
  <c r="L9" i="57" l="1"/>
  <c r="L10" i="57"/>
  <c r="L8" i="57"/>
  <c r="K7" i="57"/>
  <c r="K6" i="57" s="1"/>
  <c r="K4" i="57" s="1"/>
  <c r="J7" i="57"/>
  <c r="J6" i="57" s="1"/>
  <c r="J4" i="57" s="1"/>
  <c r="L157" i="58"/>
  <c r="L153" i="58"/>
  <c r="L154" i="58"/>
  <c r="L155" i="58"/>
  <c r="L156" i="58"/>
  <c r="L152" i="58"/>
  <c r="K18" i="57" l="1"/>
  <c r="J18" i="57"/>
  <c r="L7" i="57"/>
  <c r="U112" i="37" l="1"/>
  <c r="F39" i="36" s="1"/>
  <c r="F71" i="5"/>
  <c r="I71" i="5" s="1"/>
  <c r="F60" i="5"/>
  <c r="I60" i="5" s="1"/>
  <c r="E61" i="5"/>
  <c r="F50" i="30"/>
  <c r="E50" i="30"/>
  <c r="H176" i="7"/>
  <c r="H177" i="7"/>
  <c r="H178" i="7"/>
  <c r="H179" i="7"/>
  <c r="H180" i="7"/>
  <c r="F39" i="17" l="1"/>
  <c r="G39" i="36"/>
  <c r="F163" i="7"/>
  <c r="G163" i="7"/>
  <c r="F12" i="5"/>
  <c r="E12" i="5"/>
  <c r="E9" i="6"/>
  <c r="F17" i="6"/>
  <c r="H25" i="6"/>
  <c r="H20" i="6"/>
  <c r="H21" i="6"/>
  <c r="H22" i="6"/>
  <c r="G35" i="7" l="1"/>
  <c r="I39" i="17"/>
  <c r="H132" i="6"/>
  <c r="D6" i="43"/>
  <c r="D12" i="43" l="1"/>
  <c r="F38" i="17"/>
  <c r="I38" i="17" s="1"/>
  <c r="E38" i="17"/>
  <c r="F55" i="8"/>
  <c r="E55" i="8"/>
  <c r="F60" i="8"/>
  <c r="I60" i="8" s="1"/>
  <c r="F42" i="8"/>
  <c r="I42" i="8" s="1"/>
  <c r="I55" i="8" l="1"/>
  <c r="G55" i="8"/>
  <c r="F39" i="8"/>
  <c r="D39" i="8"/>
  <c r="E39" i="8"/>
  <c r="F35" i="124" l="1"/>
  <c r="F33" i="124" s="1"/>
  <c r="I39" i="8"/>
  <c r="D11" i="2"/>
  <c r="G39" i="8"/>
  <c r="L30" i="58"/>
  <c r="I35" i="124" l="1"/>
  <c r="F32" i="124"/>
  <c r="I33" i="124"/>
  <c r="K135" i="58"/>
  <c r="J135" i="58"/>
  <c r="L139" i="58"/>
  <c r="L138" i="58"/>
  <c r="L143" i="58"/>
  <c r="L140" i="58"/>
  <c r="L137" i="58"/>
  <c r="L136" i="58"/>
  <c r="K129" i="58"/>
  <c r="J129" i="58"/>
  <c r="H129" i="58"/>
  <c r="L131" i="58"/>
  <c r="F33" i="25" l="1"/>
  <c r="E33" i="25"/>
  <c r="F52" i="26" l="1"/>
  <c r="E52" i="26"/>
  <c r="H26" i="2" l="1"/>
  <c r="E9" i="5"/>
  <c r="E22" i="5"/>
  <c r="E23" i="5"/>
  <c r="E37" i="5"/>
  <c r="F37" i="5"/>
  <c r="I37" i="5" s="1"/>
  <c r="E48" i="5"/>
  <c r="E75" i="5"/>
  <c r="F75" i="5"/>
  <c r="I75" i="5" s="1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8" i="8"/>
  <c r="F18" i="8"/>
  <c r="G18" i="8"/>
  <c r="E20" i="8"/>
  <c r="E23" i="8"/>
  <c r="F23" i="8"/>
  <c r="I23" i="8" s="1"/>
  <c r="G23" i="8"/>
  <c r="E24" i="8"/>
  <c r="F24" i="8"/>
  <c r="I24" i="8" s="1"/>
  <c r="G24" i="8"/>
  <c r="E25" i="8"/>
  <c r="F25" i="8"/>
  <c r="I25" i="8" s="1"/>
  <c r="G25" i="8"/>
  <c r="E28" i="8"/>
  <c r="F28" i="8"/>
  <c r="I28" i="8" s="1"/>
  <c r="G28" i="8"/>
  <c r="E32" i="8"/>
  <c r="F32" i="8"/>
  <c r="I32" i="8" s="1"/>
  <c r="G32" i="8"/>
  <c r="E35" i="8"/>
  <c r="F35" i="8"/>
  <c r="I35" i="8" s="1"/>
  <c r="G35" i="8"/>
  <c r="E37" i="8"/>
  <c r="F37" i="8"/>
  <c r="G37" i="8"/>
  <c r="E38" i="8"/>
  <c r="F38" i="8"/>
  <c r="I38" i="8" s="1"/>
  <c r="G38" i="8"/>
  <c r="E47" i="8"/>
  <c r="F47" i="8"/>
  <c r="E48" i="8"/>
  <c r="F48" i="8"/>
  <c r="E49" i="8"/>
  <c r="F49" i="8"/>
  <c r="E50" i="8"/>
  <c r="F50" i="8"/>
  <c r="E51" i="8"/>
  <c r="F51" i="8"/>
  <c r="I51" i="8" s="1"/>
  <c r="E57" i="8"/>
  <c r="F57" i="8"/>
  <c r="E58" i="8"/>
  <c r="E59" i="8"/>
  <c r="F59" i="8"/>
  <c r="I59" i="8" s="1"/>
  <c r="G63" i="8"/>
  <c r="E64" i="8"/>
  <c r="F64" i="8"/>
  <c r="I64" i="8" s="1"/>
  <c r="G64" i="8"/>
  <c r="E8" i="9"/>
  <c r="F8" i="9"/>
  <c r="E19" i="9"/>
  <c r="E37" i="9"/>
  <c r="F37" i="9"/>
  <c r="E44" i="9"/>
  <c r="E47" i="9"/>
  <c r="E53" i="9"/>
  <c r="F53" i="9"/>
  <c r="E8" i="10"/>
  <c r="F8" i="10"/>
  <c r="E17" i="10"/>
  <c r="F17" i="10"/>
  <c r="E25" i="10"/>
  <c r="F25" i="10"/>
  <c r="E30" i="10"/>
  <c r="F30" i="10"/>
  <c r="E33" i="10"/>
  <c r="F33" i="10"/>
  <c r="E39" i="10"/>
  <c r="F39" i="10"/>
  <c r="E8" i="11"/>
  <c r="F8" i="11"/>
  <c r="E19" i="11"/>
  <c r="F19" i="11"/>
  <c r="E36" i="11"/>
  <c r="F36" i="11"/>
  <c r="E41" i="11"/>
  <c r="F41" i="11"/>
  <c r="E44" i="11"/>
  <c r="F44" i="11"/>
  <c r="E50" i="11"/>
  <c r="E8" i="12"/>
  <c r="F8" i="12"/>
  <c r="E17" i="12"/>
  <c r="F17" i="12"/>
  <c r="E25" i="12"/>
  <c r="F25" i="12"/>
  <c r="E30" i="12"/>
  <c r="F30" i="12"/>
  <c r="E33" i="12"/>
  <c r="F33" i="12"/>
  <c r="E39" i="12"/>
  <c r="F39" i="12"/>
  <c r="E8" i="13"/>
  <c r="F8" i="13"/>
  <c r="E19" i="13"/>
  <c r="F19" i="13"/>
  <c r="E36" i="13"/>
  <c r="F36" i="13"/>
  <c r="E41" i="13"/>
  <c r="F41" i="13"/>
  <c r="E44" i="13"/>
  <c r="F44" i="13"/>
  <c r="E50" i="13"/>
  <c r="F50" i="13"/>
  <c r="E8" i="14"/>
  <c r="F8" i="14"/>
  <c r="E19" i="14"/>
  <c r="F19" i="14"/>
  <c r="E36" i="14"/>
  <c r="F36" i="14"/>
  <c r="E41" i="14"/>
  <c r="F41" i="14"/>
  <c r="E45" i="14"/>
  <c r="F45" i="14"/>
  <c r="E51" i="14"/>
  <c r="F51" i="14"/>
  <c r="E8" i="15"/>
  <c r="F8" i="15"/>
  <c r="E19" i="15"/>
  <c r="F19" i="15"/>
  <c r="E37" i="15"/>
  <c r="F37" i="15"/>
  <c r="E42" i="15"/>
  <c r="F42" i="15"/>
  <c r="E45" i="15"/>
  <c r="F45" i="15"/>
  <c r="E51" i="15"/>
  <c r="F51" i="15"/>
  <c r="E8" i="16"/>
  <c r="F8" i="16"/>
  <c r="E19" i="16"/>
  <c r="F19" i="16"/>
  <c r="E36" i="16"/>
  <c r="F36" i="16"/>
  <c r="E41" i="16"/>
  <c r="F41" i="16"/>
  <c r="E45" i="16"/>
  <c r="F45" i="16"/>
  <c r="E51" i="16"/>
  <c r="F51" i="16"/>
  <c r="E9" i="17"/>
  <c r="F9" i="17"/>
  <c r="I9" i="17" s="1"/>
  <c r="E11" i="17"/>
  <c r="F11" i="17"/>
  <c r="I11" i="17" s="1"/>
  <c r="E12" i="17"/>
  <c r="F12" i="17"/>
  <c r="I12" i="17" s="1"/>
  <c r="E13" i="17"/>
  <c r="F13" i="17"/>
  <c r="I13" i="17" s="1"/>
  <c r="E14" i="17"/>
  <c r="F14" i="17"/>
  <c r="I14" i="17" s="1"/>
  <c r="E15" i="17"/>
  <c r="E27" i="17"/>
  <c r="E26" i="17" s="1"/>
  <c r="F27" i="17"/>
  <c r="E51" i="17"/>
  <c r="F51" i="17"/>
  <c r="I51" i="17" s="1"/>
  <c r="E8" i="25"/>
  <c r="F8" i="25"/>
  <c r="E19" i="25"/>
  <c r="E44" i="25" s="1"/>
  <c r="F19" i="25"/>
  <c r="E47" i="25"/>
  <c r="E56" i="25"/>
  <c r="F56" i="25"/>
  <c r="E64" i="25"/>
  <c r="F64" i="25"/>
  <c r="E8" i="26"/>
  <c r="F8" i="26"/>
  <c r="E19" i="26"/>
  <c r="F19" i="26"/>
  <c r="E36" i="26"/>
  <c r="E43" i="26"/>
  <c r="E46" i="26"/>
  <c r="E59" i="26" s="1"/>
  <c r="F46" i="26"/>
  <c r="F59" i="26" s="1"/>
  <c r="E8" i="27"/>
  <c r="F8" i="27"/>
  <c r="E19" i="27"/>
  <c r="F19" i="27"/>
  <c r="E36" i="27"/>
  <c r="E43" i="27"/>
  <c r="E46" i="27"/>
  <c r="F46" i="27"/>
  <c r="E52" i="27"/>
  <c r="F52" i="27"/>
  <c r="E8" i="28"/>
  <c r="F8" i="28"/>
  <c r="E19" i="28"/>
  <c r="F19" i="28"/>
  <c r="E33" i="28"/>
  <c r="F33" i="28"/>
  <c r="E50" i="28"/>
  <c r="F50" i="28"/>
  <c r="E56" i="28"/>
  <c r="F56" i="28"/>
  <c r="E8" i="29"/>
  <c r="F8" i="29"/>
  <c r="E19" i="29"/>
  <c r="F19" i="29"/>
  <c r="E33" i="29"/>
  <c r="F33" i="29"/>
  <c r="E50" i="29"/>
  <c r="F50" i="29"/>
  <c r="E56" i="29"/>
  <c r="F56" i="29"/>
  <c r="E8" i="30"/>
  <c r="E19" i="30"/>
  <c r="E33" i="30"/>
  <c r="F33" i="30"/>
  <c r="F47" i="30" s="1"/>
  <c r="E57" i="30"/>
  <c r="F57" i="30"/>
  <c r="F66" i="30" s="1"/>
  <c r="E19" i="31"/>
  <c r="F19" i="31"/>
  <c r="F42" i="31" s="1"/>
  <c r="E36" i="31"/>
  <c r="E45" i="31"/>
  <c r="F45" i="31"/>
  <c r="E51" i="31"/>
  <c r="F51" i="31"/>
  <c r="E8" i="32"/>
  <c r="F8" i="32"/>
  <c r="E17" i="32"/>
  <c r="F17" i="32"/>
  <c r="E26" i="32"/>
  <c r="F26" i="32"/>
  <c r="E34" i="32"/>
  <c r="F34" i="32"/>
  <c r="E40" i="32"/>
  <c r="F40" i="32"/>
  <c r="E8" i="34"/>
  <c r="F8" i="34"/>
  <c r="E19" i="34"/>
  <c r="E36" i="34"/>
  <c r="E45" i="34"/>
  <c r="F45" i="34"/>
  <c r="E51" i="34"/>
  <c r="F51" i="34"/>
  <c r="L6" i="37"/>
  <c r="L8" i="37"/>
  <c r="L13" i="37"/>
  <c r="L15" i="37"/>
  <c r="L16" i="37"/>
  <c r="L19" i="37"/>
  <c r="L24" i="37"/>
  <c r="L25" i="37"/>
  <c r="L26" i="37"/>
  <c r="L29" i="37"/>
  <c r="L39" i="37"/>
  <c r="L41" i="37"/>
  <c r="L47" i="37"/>
  <c r="L48" i="37"/>
  <c r="L49" i="37"/>
  <c r="L52" i="37"/>
  <c r="L59" i="37"/>
  <c r="L60" i="37"/>
  <c r="L61" i="37"/>
  <c r="L64" i="37"/>
  <c r="L66" i="37"/>
  <c r="L68" i="37"/>
  <c r="L72" i="37"/>
  <c r="L73" i="37"/>
  <c r="L74" i="37"/>
  <c r="L76" i="37"/>
  <c r="L77" i="37"/>
  <c r="L78" i="37"/>
  <c r="L83" i="37"/>
  <c r="L84" i="37"/>
  <c r="L87" i="37"/>
  <c r="L89" i="37"/>
  <c r="L90" i="37"/>
  <c r="L91" i="37"/>
  <c r="L95" i="37"/>
  <c r="L96" i="37"/>
  <c r="L97" i="37"/>
  <c r="L99" i="37"/>
  <c r="L100" i="37"/>
  <c r="L101" i="37"/>
  <c r="L106" i="37"/>
  <c r="L107" i="37"/>
  <c r="L110" i="37"/>
  <c r="L112" i="37"/>
  <c r="L114" i="37"/>
  <c r="L118" i="37"/>
  <c r="L119" i="37"/>
  <c r="L120" i="37"/>
  <c r="L123" i="37"/>
  <c r="L129" i="37"/>
  <c r="L130" i="37"/>
  <c r="L133" i="37"/>
  <c r="L135" i="37"/>
  <c r="L136" i="37"/>
  <c r="L141" i="37"/>
  <c r="L142" i="37"/>
  <c r="L143" i="37"/>
  <c r="L146" i="37"/>
  <c r="L158" i="37"/>
  <c r="L160" i="37"/>
  <c r="L161" i="37"/>
  <c r="L166" i="37"/>
  <c r="L167" i="37"/>
  <c r="L168" i="37"/>
  <c r="L171" i="37"/>
  <c r="L177" i="37"/>
  <c r="L189" i="37"/>
  <c r="L190" i="37"/>
  <c r="L191" i="37"/>
  <c r="J180" i="37"/>
  <c r="J179" i="37" s="1"/>
  <c r="J186" i="37" s="1"/>
  <c r="K180" i="37"/>
  <c r="K179" i="37" s="1"/>
  <c r="K186" i="37" s="1"/>
  <c r="J196" i="37"/>
  <c r="K196" i="37"/>
  <c r="J200" i="37"/>
  <c r="K200" i="37"/>
  <c r="J152" i="37"/>
  <c r="K152" i="37"/>
  <c r="J157" i="37"/>
  <c r="J156" i="37" s="1"/>
  <c r="J132" i="37"/>
  <c r="J131" i="37" s="1"/>
  <c r="J138" i="37" s="1"/>
  <c r="K131" i="37"/>
  <c r="J148" i="37"/>
  <c r="K148" i="37"/>
  <c r="J109" i="37"/>
  <c r="J108" i="37" s="1"/>
  <c r="J115" i="37" s="1"/>
  <c r="J125" i="37"/>
  <c r="J86" i="37"/>
  <c r="J85" i="37" s="1"/>
  <c r="J92" i="37" s="1"/>
  <c r="K86" i="37"/>
  <c r="K85" i="37" s="1"/>
  <c r="K92" i="37" s="1"/>
  <c r="J102" i="37"/>
  <c r="K102" i="37"/>
  <c r="J58" i="37"/>
  <c r="J63" i="37"/>
  <c r="J62" i="37" s="1"/>
  <c r="J79" i="37"/>
  <c r="K79" i="37"/>
  <c r="J38" i="37"/>
  <c r="J37" i="37" s="1"/>
  <c r="J44" i="37" s="1"/>
  <c r="K37" i="37"/>
  <c r="J54" i="37"/>
  <c r="J5" i="37"/>
  <c r="J21" i="37" s="1"/>
  <c r="K21" i="37"/>
  <c r="J31" i="37"/>
  <c r="T106" i="37"/>
  <c r="U106" i="37"/>
  <c r="T107" i="37"/>
  <c r="U107" i="37"/>
  <c r="T110" i="37"/>
  <c r="F21" i="36"/>
  <c r="F21" i="17" s="1"/>
  <c r="F20" i="17" s="1"/>
  <c r="T114" i="37"/>
  <c r="U114" i="37"/>
  <c r="T115" i="37"/>
  <c r="U115" i="37"/>
  <c r="T116" i="37"/>
  <c r="U116" i="37"/>
  <c r="T117" i="37"/>
  <c r="U117" i="37"/>
  <c r="T120" i="37"/>
  <c r="U120" i="37"/>
  <c r="T123" i="37"/>
  <c r="U123" i="37"/>
  <c r="F46" i="36" s="1"/>
  <c r="I48" i="17" s="1"/>
  <c r="T125" i="37"/>
  <c r="U125" i="37"/>
  <c r="F47" i="36" s="1"/>
  <c r="I49" i="17" s="1"/>
  <c r="T126" i="37"/>
  <c r="U126" i="37"/>
  <c r="T127" i="37"/>
  <c r="U127" i="37"/>
  <c r="F51" i="36" s="1"/>
  <c r="I53" i="17" s="1"/>
  <c r="T128" i="37"/>
  <c r="F54" i="36"/>
  <c r="F54" i="8" l="1"/>
  <c r="I54" i="8" s="1"/>
  <c r="I57" i="8"/>
  <c r="I50" i="8"/>
  <c r="I49" i="8"/>
  <c r="I48" i="8"/>
  <c r="F42" i="124"/>
  <c r="I42" i="124" s="1"/>
  <c r="I47" i="8"/>
  <c r="I37" i="8"/>
  <c r="F36" i="8"/>
  <c r="G20" i="17"/>
  <c r="I20" i="17"/>
  <c r="F19" i="17"/>
  <c r="F19" i="8"/>
  <c r="I19" i="8" s="1"/>
  <c r="E14" i="2"/>
  <c r="F26" i="124"/>
  <c r="I21" i="17"/>
  <c r="E51" i="36"/>
  <c r="E53" i="113" s="1"/>
  <c r="E50" i="82"/>
  <c r="E50" i="81"/>
  <c r="E50" i="83"/>
  <c r="E52" i="36"/>
  <c r="E54" i="113" s="1"/>
  <c r="E51" i="83"/>
  <c r="E51" i="82"/>
  <c r="E51" i="81"/>
  <c r="E47" i="36"/>
  <c r="E46" i="114" s="1"/>
  <c r="E46" i="81"/>
  <c r="G46" i="81" s="1"/>
  <c r="E46" i="83"/>
  <c r="G46" i="83" s="1"/>
  <c r="E46" i="82"/>
  <c r="G46" i="82" s="1"/>
  <c r="E46" i="36"/>
  <c r="E48" i="113" s="1"/>
  <c r="E45" i="83"/>
  <c r="G45" i="83" s="1"/>
  <c r="E45" i="82"/>
  <c r="G45" i="82" s="1"/>
  <c r="E45" i="81"/>
  <c r="G45" i="81" s="1"/>
  <c r="E44" i="81"/>
  <c r="E44" i="83"/>
  <c r="E44" i="82"/>
  <c r="E37" i="17"/>
  <c r="E36" i="17" s="1"/>
  <c r="E37" i="82"/>
  <c r="E36" i="82" s="1"/>
  <c r="E37" i="83"/>
  <c r="E36" i="83" s="1"/>
  <c r="E37" i="81"/>
  <c r="E36" i="81" s="1"/>
  <c r="E39" i="83"/>
  <c r="E39" i="81"/>
  <c r="E39" i="82"/>
  <c r="E21" i="36"/>
  <c r="E21" i="83"/>
  <c r="E21" i="82"/>
  <c r="E21" i="81"/>
  <c r="E57" i="36"/>
  <c r="E59" i="17" s="1"/>
  <c r="E55" i="83"/>
  <c r="E55" i="82"/>
  <c r="E55" i="81"/>
  <c r="F47" i="29"/>
  <c r="F47" i="28"/>
  <c r="F43" i="27"/>
  <c r="F43" i="26"/>
  <c r="I39" i="26" s="1"/>
  <c r="H14" i="3"/>
  <c r="F52" i="36"/>
  <c r="F54" i="17" s="1"/>
  <c r="F51" i="82"/>
  <c r="F51" i="81"/>
  <c r="F51" i="83"/>
  <c r="F37" i="17"/>
  <c r="F36" i="17" s="1"/>
  <c r="F37" i="83"/>
  <c r="F37" i="81"/>
  <c r="F37" i="82"/>
  <c r="F57" i="36"/>
  <c r="I59" i="17" s="1"/>
  <c r="F55" i="83"/>
  <c r="F44" i="25"/>
  <c r="F26" i="17"/>
  <c r="I26" i="17" s="1"/>
  <c r="I27" i="17"/>
  <c r="E53" i="17"/>
  <c r="E54" i="17"/>
  <c r="E37" i="112"/>
  <c r="E36" i="112" s="1"/>
  <c r="F54" i="112"/>
  <c r="E45" i="36"/>
  <c r="F45" i="36"/>
  <c r="E39" i="17"/>
  <c r="F59" i="9"/>
  <c r="F63" i="25"/>
  <c r="L196" i="37"/>
  <c r="L186" i="37"/>
  <c r="L173" i="37"/>
  <c r="L156" i="37"/>
  <c r="L148" i="37"/>
  <c r="L125" i="37"/>
  <c r="L92" i="37"/>
  <c r="L79" i="37"/>
  <c r="L58" i="37"/>
  <c r="T131" i="37"/>
  <c r="L138" i="37"/>
  <c r="L115" i="37"/>
  <c r="L62" i="37"/>
  <c r="U131" i="37"/>
  <c r="L31" i="37"/>
  <c r="L11" i="37"/>
  <c r="L5" i="37"/>
  <c r="L54" i="37"/>
  <c r="L44" i="37"/>
  <c r="E54" i="8"/>
  <c r="F19" i="36"/>
  <c r="L157" i="37"/>
  <c r="L131" i="37"/>
  <c r="L108" i="37"/>
  <c r="L85" i="37"/>
  <c r="L63" i="37"/>
  <c r="L37" i="37"/>
  <c r="E47" i="32"/>
  <c r="E63" i="29"/>
  <c r="E47" i="29"/>
  <c r="E63" i="28"/>
  <c r="G36" i="8"/>
  <c r="E36" i="8"/>
  <c r="E19" i="8"/>
  <c r="G8" i="8"/>
  <c r="E8" i="8"/>
  <c r="K199" i="37"/>
  <c r="L132" i="37"/>
  <c r="L109" i="37"/>
  <c r="L102" i="37"/>
  <c r="L86" i="37"/>
  <c r="L38" i="37"/>
  <c r="L12" i="37"/>
  <c r="F47" i="32"/>
  <c r="F63" i="29"/>
  <c r="F63" i="28"/>
  <c r="F59" i="27"/>
  <c r="E46" i="10"/>
  <c r="F8" i="8"/>
  <c r="F46" i="8"/>
  <c r="I46" i="8" s="1"/>
  <c r="E46" i="8"/>
  <c r="F31" i="32"/>
  <c r="E31" i="32"/>
  <c r="E47" i="30"/>
  <c r="E42" i="34"/>
  <c r="E55" i="34"/>
  <c r="E47" i="28"/>
  <c r="E55" i="31"/>
  <c r="E59" i="9"/>
  <c r="F46" i="10"/>
  <c r="E57" i="11"/>
  <c r="F57" i="11"/>
  <c r="E46" i="12"/>
  <c r="F46" i="12"/>
  <c r="F57" i="13"/>
  <c r="E57" i="13"/>
  <c r="E58" i="14"/>
  <c r="F58" i="14"/>
  <c r="F58" i="15"/>
  <c r="E58" i="15"/>
  <c r="E58" i="16"/>
  <c r="F58" i="16"/>
  <c r="E63" i="25"/>
  <c r="E59" i="27"/>
  <c r="E66" i="30"/>
  <c r="J199" i="37"/>
  <c r="J163" i="37"/>
  <c r="J69" i="37"/>
  <c r="T105" i="37"/>
  <c r="T109" i="37"/>
  <c r="U109" i="37"/>
  <c r="U108" i="37"/>
  <c r="U130" i="37"/>
  <c r="T108" i="37"/>
  <c r="T130" i="37"/>
  <c r="U105" i="37"/>
  <c r="F10" i="36" s="1"/>
  <c r="H53" i="7"/>
  <c r="F42" i="7"/>
  <c r="I6" i="2" l="1"/>
  <c r="G42" i="124"/>
  <c r="F43" i="8"/>
  <c r="I36" i="8"/>
  <c r="I26" i="124"/>
  <c r="E5" i="131"/>
  <c r="F52" i="17"/>
  <c r="E61" i="8"/>
  <c r="E7" i="2"/>
  <c r="G26" i="124"/>
  <c r="E19" i="36"/>
  <c r="E21" i="114"/>
  <c r="E19" i="114" s="1"/>
  <c r="E45" i="114"/>
  <c r="G45" i="114" s="1"/>
  <c r="E44" i="36"/>
  <c r="E49" i="17"/>
  <c r="E59" i="113"/>
  <c r="E59" i="112"/>
  <c r="E21" i="112"/>
  <c r="E19" i="112" s="1"/>
  <c r="G19" i="112" s="1"/>
  <c r="E48" i="112"/>
  <c r="G48" i="112" s="1"/>
  <c r="E49" i="113"/>
  <c r="G49" i="113" s="1"/>
  <c r="E50" i="114"/>
  <c r="F36" i="114"/>
  <c r="F35" i="114" s="1"/>
  <c r="F50" i="114"/>
  <c r="F49" i="114" s="1"/>
  <c r="E36" i="114"/>
  <c r="E35" i="114" s="1"/>
  <c r="F50" i="36"/>
  <c r="F37" i="112"/>
  <c r="J37" i="17" s="1"/>
  <c r="F54" i="113"/>
  <c r="E37" i="113"/>
  <c r="E36" i="113" s="1"/>
  <c r="G36" i="113" s="1"/>
  <c r="E21" i="17"/>
  <c r="I19" i="17"/>
  <c r="G37" i="82"/>
  <c r="G37" i="83"/>
  <c r="G51" i="83"/>
  <c r="F49" i="83"/>
  <c r="F53" i="83" s="1"/>
  <c r="G51" i="82"/>
  <c r="F49" i="82"/>
  <c r="F53" i="82" s="1"/>
  <c r="G21" i="82"/>
  <c r="E19" i="82"/>
  <c r="G19" i="82" s="1"/>
  <c r="G39" i="81"/>
  <c r="G44" i="82"/>
  <c r="E43" i="82"/>
  <c r="G44" i="81"/>
  <c r="E43" i="81"/>
  <c r="E49" i="81"/>
  <c r="G50" i="81"/>
  <c r="E10" i="36"/>
  <c r="E10" i="114" s="1"/>
  <c r="E8" i="114" s="1"/>
  <c r="E10" i="83"/>
  <c r="E10" i="82"/>
  <c r="E10" i="81"/>
  <c r="E48" i="17"/>
  <c r="E50" i="36"/>
  <c r="E55" i="36" s="1"/>
  <c r="E56" i="114"/>
  <c r="E21" i="113"/>
  <c r="E19" i="113" s="1"/>
  <c r="E49" i="112"/>
  <c r="G49" i="112" s="1"/>
  <c r="E54" i="112"/>
  <c r="G54" i="112" s="1"/>
  <c r="E53" i="112"/>
  <c r="G53" i="112" s="1"/>
  <c r="G37" i="81"/>
  <c r="G51" i="81"/>
  <c r="I52" i="36"/>
  <c r="F49" i="81"/>
  <c r="F53" i="81" s="1"/>
  <c r="G21" i="81"/>
  <c r="E19" i="81"/>
  <c r="G19" i="81" s="1"/>
  <c r="G21" i="83"/>
  <c r="E19" i="83"/>
  <c r="G19" i="83" s="1"/>
  <c r="G39" i="82"/>
  <c r="G39" i="83"/>
  <c r="G44" i="83"/>
  <c r="E43" i="83"/>
  <c r="G43" i="83" s="1"/>
  <c r="E49" i="83"/>
  <c r="G50" i="83"/>
  <c r="G50" i="82"/>
  <c r="E49" i="82"/>
  <c r="I36" i="25"/>
  <c r="I39" i="27"/>
  <c r="E52" i="17"/>
  <c r="J54" i="17"/>
  <c r="I54" i="17" s="1"/>
  <c r="J57" i="17"/>
  <c r="I57" i="17" s="1"/>
  <c r="I37" i="17"/>
  <c r="E39" i="113"/>
  <c r="G39" i="113" s="1"/>
  <c r="E38" i="114"/>
  <c r="G38" i="114" s="1"/>
  <c r="E39" i="112"/>
  <c r="G39" i="112" s="1"/>
  <c r="I47" i="17"/>
  <c r="F46" i="113"/>
  <c r="G21" i="112"/>
  <c r="G53" i="113"/>
  <c r="G48" i="113"/>
  <c r="G46" i="114"/>
  <c r="E52" i="113"/>
  <c r="E47" i="17"/>
  <c r="E44" i="114"/>
  <c r="E43" i="114" s="1"/>
  <c r="E47" i="113"/>
  <c r="E47" i="112"/>
  <c r="G21" i="114"/>
  <c r="G19" i="114"/>
  <c r="G21" i="113"/>
  <c r="G36" i="114"/>
  <c r="F52" i="112"/>
  <c r="E49" i="114"/>
  <c r="F44" i="36"/>
  <c r="F55" i="36" s="1"/>
  <c r="K43" i="29"/>
  <c r="I28" i="24"/>
  <c r="J43" i="30"/>
  <c r="J43" i="28"/>
  <c r="K30" i="32"/>
  <c r="F34" i="7"/>
  <c r="G34" i="7"/>
  <c r="U118" i="37"/>
  <c r="F35" i="7"/>
  <c r="G54" i="8"/>
  <c r="E43" i="8"/>
  <c r="L21" i="37"/>
  <c r="J198" i="37"/>
  <c r="F61" i="8"/>
  <c r="I61" i="8" s="1"/>
  <c r="I43" i="8"/>
  <c r="E8" i="36"/>
  <c r="L163" i="37"/>
  <c r="K198" i="37"/>
  <c r="L69" i="37"/>
  <c r="D12" i="3"/>
  <c r="L199" i="37"/>
  <c r="T118" i="37"/>
  <c r="F56" i="7"/>
  <c r="F55" i="7" s="1"/>
  <c r="G56" i="7"/>
  <c r="H113" i="7"/>
  <c r="H112" i="7"/>
  <c r="F99" i="7"/>
  <c r="F97" i="7" s="1"/>
  <c r="G99" i="7"/>
  <c r="G35" i="114" l="1"/>
  <c r="F36" i="112"/>
  <c r="J36" i="17" s="1"/>
  <c r="I36" i="17" s="1"/>
  <c r="F52" i="113"/>
  <c r="G52" i="113" s="1"/>
  <c r="G50" i="114"/>
  <c r="E10" i="113"/>
  <c r="E8" i="113" s="1"/>
  <c r="E43" i="113" s="1"/>
  <c r="E53" i="83"/>
  <c r="F58" i="113"/>
  <c r="E10" i="17"/>
  <c r="E8" i="17" s="1"/>
  <c r="G37" i="113"/>
  <c r="G37" i="112"/>
  <c r="G54" i="113"/>
  <c r="E19" i="17"/>
  <c r="G19" i="17" s="1"/>
  <c r="G21" i="17"/>
  <c r="E46" i="17"/>
  <c r="E58" i="17" s="1"/>
  <c r="E52" i="112"/>
  <c r="G52" i="112" s="1"/>
  <c r="E46" i="112"/>
  <c r="E10" i="112"/>
  <c r="E8" i="112" s="1"/>
  <c r="E43" i="112" s="1"/>
  <c r="G49" i="81"/>
  <c r="I50" i="36"/>
  <c r="G10" i="81"/>
  <c r="E8" i="81"/>
  <c r="G10" i="83"/>
  <c r="E8" i="83"/>
  <c r="E53" i="81"/>
  <c r="G43" i="81"/>
  <c r="E53" i="82"/>
  <c r="G43" i="82"/>
  <c r="G49" i="82"/>
  <c r="G49" i="83"/>
  <c r="G36" i="83"/>
  <c r="G36" i="82"/>
  <c r="G36" i="81"/>
  <c r="G10" i="82"/>
  <c r="E8" i="82"/>
  <c r="F46" i="17"/>
  <c r="F58" i="17" s="1"/>
  <c r="G36" i="112"/>
  <c r="G49" i="114"/>
  <c r="G19" i="113"/>
  <c r="F8" i="36"/>
  <c r="F41" i="36" s="1"/>
  <c r="E55" i="114"/>
  <c r="G44" i="114"/>
  <c r="G47" i="113"/>
  <c r="E46" i="113"/>
  <c r="D17" i="2"/>
  <c r="G47" i="112"/>
  <c r="F46" i="112"/>
  <c r="E40" i="114"/>
  <c r="F41" i="7"/>
  <c r="G61" i="8"/>
  <c r="F10" i="17"/>
  <c r="I10" i="17" s="1"/>
  <c r="E41" i="36"/>
  <c r="G43" i="8"/>
  <c r="L198" i="37"/>
  <c r="G14" i="41"/>
  <c r="F14" i="41"/>
  <c r="I4" i="40"/>
  <c r="E50" i="136" l="1"/>
  <c r="E50" i="135"/>
  <c r="E50" i="134"/>
  <c r="E45" i="130"/>
  <c r="E45" i="129"/>
  <c r="E45" i="128"/>
  <c r="E50" i="124"/>
  <c r="J52" i="17"/>
  <c r="I52" i="17" s="1"/>
  <c r="E43" i="17"/>
  <c r="D10" i="2"/>
  <c r="J46" i="17"/>
  <c r="I46" i="17" s="1"/>
  <c r="F58" i="112"/>
  <c r="E58" i="112"/>
  <c r="E40" i="82"/>
  <c r="G40" i="82" s="1"/>
  <c r="G8" i="82"/>
  <c r="I41" i="36"/>
  <c r="G53" i="83"/>
  <c r="G53" i="82"/>
  <c r="E40" i="83"/>
  <c r="G8" i="83"/>
  <c r="E40" i="81"/>
  <c r="G8" i="81"/>
  <c r="I55" i="36"/>
  <c r="G53" i="81"/>
  <c r="H6" i="2"/>
  <c r="G10" i="112"/>
  <c r="F8" i="112"/>
  <c r="G10" i="114"/>
  <c r="F8" i="114"/>
  <c r="F40" i="114" s="1"/>
  <c r="F8" i="17"/>
  <c r="G46" i="112"/>
  <c r="G46" i="113"/>
  <c r="E58" i="113"/>
  <c r="G58" i="113" s="1"/>
  <c r="G43" i="114"/>
  <c r="F55" i="114"/>
  <c r="G55" i="114" s="1"/>
  <c r="G10" i="113"/>
  <c r="F8" i="113"/>
  <c r="F16" i="135" s="1"/>
  <c r="J46" i="40"/>
  <c r="E45" i="5"/>
  <c r="L132" i="58"/>
  <c r="L130" i="58"/>
  <c r="K119" i="58"/>
  <c r="J119" i="58"/>
  <c r="L33" i="58"/>
  <c r="L134" i="58"/>
  <c r="L127" i="58"/>
  <c r="L124" i="58"/>
  <c r="L120" i="58"/>
  <c r="L32" i="58"/>
  <c r="L103" i="58"/>
  <c r="L95" i="58"/>
  <c r="L122" i="58"/>
  <c r="L94" i="58"/>
  <c r="L93" i="58"/>
  <c r="L92" i="58"/>
  <c r="L114" i="58"/>
  <c r="L31" i="58"/>
  <c r="L91" i="58"/>
  <c r="L59" i="58"/>
  <c r="L58" i="58"/>
  <c r="L74" i="58"/>
  <c r="L45" i="58"/>
  <c r="L41" i="58"/>
  <c r="L40" i="58"/>
  <c r="L25" i="58"/>
  <c r="L23" i="58"/>
  <c r="L29" i="58"/>
  <c r="L90" i="58"/>
  <c r="L28" i="58"/>
  <c r="L27" i="58"/>
  <c r="L86" i="58"/>
  <c r="L85" i="58"/>
  <c r="L83" i="58"/>
  <c r="L89" i="58"/>
  <c r="L26" i="58"/>
  <c r="L88" i="58"/>
  <c r="L73" i="58"/>
  <c r="L76" i="58"/>
  <c r="L84" i="58"/>
  <c r="L39" i="58"/>
  <c r="L87" i="58"/>
  <c r="L5" i="57"/>
  <c r="G50" i="124" l="1"/>
  <c r="E46" i="124"/>
  <c r="G50" i="134"/>
  <c r="E46" i="134"/>
  <c r="G45" i="128"/>
  <c r="E41" i="128"/>
  <c r="G45" i="130"/>
  <c r="E41" i="130"/>
  <c r="G50" i="135"/>
  <c r="E46" i="135"/>
  <c r="G45" i="129"/>
  <c r="E41" i="129"/>
  <c r="G50" i="136"/>
  <c r="E46" i="136"/>
  <c r="G16" i="135"/>
  <c r="F7" i="135"/>
  <c r="F16" i="136"/>
  <c r="K16" i="124" s="1"/>
  <c r="F43" i="112"/>
  <c r="G43" i="112" s="1"/>
  <c r="F43" i="17"/>
  <c r="G40" i="83"/>
  <c r="G40" i="81"/>
  <c r="J8" i="17"/>
  <c r="I8" i="17" s="1"/>
  <c r="G58" i="112"/>
  <c r="J58" i="17"/>
  <c r="I58" i="17" s="1"/>
  <c r="G8" i="113"/>
  <c r="F43" i="113"/>
  <c r="I41" i="17" s="1"/>
  <c r="G8" i="114"/>
  <c r="G40" i="114"/>
  <c r="G8" i="112"/>
  <c r="L119" i="58"/>
  <c r="K3" i="58"/>
  <c r="D20" i="8"/>
  <c r="G46" i="136" l="1"/>
  <c r="G41" i="129"/>
  <c r="G46" i="135"/>
  <c r="G41" i="130"/>
  <c r="G41" i="128"/>
  <c r="G46" i="134"/>
  <c r="F36" i="135"/>
  <c r="F38" i="135"/>
  <c r="G38" i="135" s="1"/>
  <c r="G7" i="135"/>
  <c r="G16" i="136"/>
  <c r="F7" i="136"/>
  <c r="K7" i="124" s="1"/>
  <c r="G43" i="113"/>
  <c r="J43" i="17"/>
  <c r="I43" i="17" s="1"/>
  <c r="H21" i="57"/>
  <c r="F38" i="136" l="1"/>
  <c r="J38" i="136" s="1"/>
  <c r="F36" i="136"/>
  <c r="G7" i="136"/>
  <c r="D29" i="68"/>
  <c r="E21" i="68"/>
  <c r="E20" i="68"/>
  <c r="E19" i="68"/>
  <c r="E18" i="68"/>
  <c r="E16" i="68"/>
  <c r="C22" i="68"/>
  <c r="C12" i="68"/>
  <c r="I200" i="37"/>
  <c r="L151" i="58"/>
  <c r="H151" i="58"/>
  <c r="G151" i="58"/>
  <c r="K149" i="58"/>
  <c r="J149" i="58"/>
  <c r="L148" i="58"/>
  <c r="K146" i="58"/>
  <c r="J146" i="58"/>
  <c r="K144" i="58"/>
  <c r="J144" i="58"/>
  <c r="J133" i="58"/>
  <c r="L129" i="58"/>
  <c r="I118" i="58"/>
  <c r="I112" i="58"/>
  <c r="I111" i="58"/>
  <c r="I110" i="58"/>
  <c r="I109" i="58"/>
  <c r="I108" i="58"/>
  <c r="I107" i="58"/>
  <c r="K105" i="58"/>
  <c r="H105" i="58"/>
  <c r="E105" i="58"/>
  <c r="E104" i="58" s="1"/>
  <c r="I86" i="58"/>
  <c r="I85" i="58"/>
  <c r="I82" i="58"/>
  <c r="I81" i="58"/>
  <c r="H80" i="58"/>
  <c r="I79" i="58"/>
  <c r="I78" i="58"/>
  <c r="I77" i="58"/>
  <c r="H73" i="58"/>
  <c r="E73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H38" i="58"/>
  <c r="G3" i="58"/>
  <c r="I13" i="57"/>
  <c r="I12" i="57"/>
  <c r="I11" i="57"/>
  <c r="C8" i="43"/>
  <c r="E175" i="7"/>
  <c r="E172" i="7" s="1"/>
  <c r="E17" i="6"/>
  <c r="I60" i="40"/>
  <c r="E72" i="33"/>
  <c r="E22" i="33"/>
  <c r="E163" i="7"/>
  <c r="E162" i="7" s="1"/>
  <c r="F7" i="41"/>
  <c r="F3" i="41" s="1"/>
  <c r="F9" i="6"/>
  <c r="D24" i="23"/>
  <c r="E24" i="23"/>
  <c r="F24" i="23"/>
  <c r="G68" i="33"/>
  <c r="S117" i="37"/>
  <c r="H14" i="6"/>
  <c r="G22" i="33"/>
  <c r="F22" i="33"/>
  <c r="G23" i="20"/>
  <c r="G20" i="16"/>
  <c r="G20" i="9"/>
  <c r="G46" i="6"/>
  <c r="H34" i="6"/>
  <c r="G225" i="7"/>
  <c r="H109" i="7"/>
  <c r="H95" i="7"/>
  <c r="H94" i="7"/>
  <c r="H93" i="7"/>
  <c r="H92" i="7"/>
  <c r="H91" i="7"/>
  <c r="H90" i="7"/>
  <c r="H96" i="7"/>
  <c r="H89" i="7"/>
  <c r="G14" i="7"/>
  <c r="E224" i="7"/>
  <c r="E226" i="7" s="1"/>
  <c r="E7" i="6"/>
  <c r="D18" i="124" s="1"/>
  <c r="C26" i="3"/>
  <c r="D26" i="3"/>
  <c r="I20" i="20"/>
  <c r="H20" i="20"/>
  <c r="J20" i="20" s="1"/>
  <c r="G20" i="20"/>
  <c r="G20" i="18"/>
  <c r="C5" i="43"/>
  <c r="C7" i="43"/>
  <c r="C6" i="43"/>
  <c r="G24" i="3"/>
  <c r="G26" i="2"/>
  <c r="C30" i="48"/>
  <c r="D30" i="48"/>
  <c r="D9" i="5"/>
  <c r="D12" i="5"/>
  <c r="D22" i="5"/>
  <c r="D23" i="5"/>
  <c r="D37" i="5"/>
  <c r="D48" i="5"/>
  <c r="D63" i="5"/>
  <c r="D75" i="5"/>
  <c r="E5" i="6"/>
  <c r="F5" i="6"/>
  <c r="G5" i="6"/>
  <c r="G4" i="6" s="1"/>
  <c r="F7" i="6"/>
  <c r="E18" i="124" s="1"/>
  <c r="H10" i="6"/>
  <c r="H12" i="6"/>
  <c r="E16" i="6"/>
  <c r="E15" i="6" s="1"/>
  <c r="D19" i="124" s="1"/>
  <c r="F16" i="6"/>
  <c r="H18" i="6"/>
  <c r="H19" i="6"/>
  <c r="H24" i="6"/>
  <c r="E30" i="6"/>
  <c r="F30" i="6"/>
  <c r="H31" i="6"/>
  <c r="H44" i="6"/>
  <c r="H45" i="6"/>
  <c r="E46" i="6"/>
  <c r="D11" i="124" s="1"/>
  <c r="D8" i="124" s="1"/>
  <c r="F46" i="6"/>
  <c r="E11" i="124" s="1"/>
  <c r="E8" i="124" s="1"/>
  <c r="H47" i="6"/>
  <c r="H48" i="6"/>
  <c r="H49" i="6"/>
  <c r="H50" i="6"/>
  <c r="E54" i="6"/>
  <c r="F54" i="6"/>
  <c r="G54" i="6"/>
  <c r="H58" i="6"/>
  <c r="E59" i="6"/>
  <c r="F59" i="6"/>
  <c r="H60" i="6"/>
  <c r="H61" i="6"/>
  <c r="H62" i="6"/>
  <c r="H63" i="6"/>
  <c r="H64" i="6"/>
  <c r="H65" i="6"/>
  <c r="H66" i="6"/>
  <c r="H67" i="6"/>
  <c r="H69" i="6"/>
  <c r="H70" i="6"/>
  <c r="H71" i="6"/>
  <c r="H72" i="6"/>
  <c r="H73" i="6"/>
  <c r="H74" i="6"/>
  <c r="H75" i="6"/>
  <c r="H76" i="6"/>
  <c r="H77" i="6"/>
  <c r="H78" i="6"/>
  <c r="H79" i="6"/>
  <c r="E81" i="6"/>
  <c r="E80" i="6" s="1"/>
  <c r="H86" i="6"/>
  <c r="H87" i="6"/>
  <c r="H89" i="6"/>
  <c r="H90" i="6"/>
  <c r="H91" i="6"/>
  <c r="E92" i="6"/>
  <c r="H97" i="6"/>
  <c r="E99" i="6"/>
  <c r="F99" i="6"/>
  <c r="G99" i="6"/>
  <c r="E101" i="6"/>
  <c r="E104" i="6"/>
  <c r="F104" i="6"/>
  <c r="G104" i="6"/>
  <c r="E111" i="6"/>
  <c r="F111" i="6"/>
  <c r="E130" i="6"/>
  <c r="F130" i="6"/>
  <c r="F110" i="6" s="1"/>
  <c r="G130" i="6"/>
  <c r="E132" i="6"/>
  <c r="E136" i="6"/>
  <c r="H137" i="6"/>
  <c r="H139" i="6"/>
  <c r="E141" i="6"/>
  <c r="F141" i="6"/>
  <c r="H142" i="6"/>
  <c r="H143" i="6"/>
  <c r="H144" i="6"/>
  <c r="H146" i="6"/>
  <c r="E148" i="6"/>
  <c r="F148" i="6"/>
  <c r="E151" i="6"/>
  <c r="E162" i="6" s="1"/>
  <c r="F151" i="6"/>
  <c r="E4" i="7"/>
  <c r="K223" i="7" s="1"/>
  <c r="F4" i="7"/>
  <c r="G4" i="7"/>
  <c r="E11" i="7"/>
  <c r="E7" i="7" s="1"/>
  <c r="F11" i="7"/>
  <c r="F7" i="7" s="1"/>
  <c r="G11" i="7"/>
  <c r="E14" i="7"/>
  <c r="F14" i="7"/>
  <c r="H15" i="7"/>
  <c r="H17" i="7"/>
  <c r="E19" i="7"/>
  <c r="F19" i="7"/>
  <c r="G19" i="7"/>
  <c r="H28" i="7"/>
  <c r="E37" i="7"/>
  <c r="E38" i="7"/>
  <c r="G42" i="7"/>
  <c r="H42" i="7" s="1"/>
  <c r="H43" i="7"/>
  <c r="H44" i="7"/>
  <c r="H45" i="7"/>
  <c r="H46" i="7"/>
  <c r="H47" i="7"/>
  <c r="H48" i="7"/>
  <c r="H49" i="7"/>
  <c r="H50" i="7"/>
  <c r="H51" i="7"/>
  <c r="E52" i="7"/>
  <c r="E42" i="7" s="1"/>
  <c r="H52" i="7"/>
  <c r="E56" i="7"/>
  <c r="E55" i="7" s="1"/>
  <c r="G55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98" i="7"/>
  <c r="E99" i="7"/>
  <c r="E97" i="7" s="1"/>
  <c r="H100" i="7"/>
  <c r="H101" i="7"/>
  <c r="H102" i="7"/>
  <c r="H103" i="7"/>
  <c r="H104" i="7"/>
  <c r="H105" i="7"/>
  <c r="H107" i="7"/>
  <c r="H108" i="7"/>
  <c r="H110" i="7"/>
  <c r="H111" i="7"/>
  <c r="H114" i="7"/>
  <c r="H115" i="7"/>
  <c r="E116" i="7"/>
  <c r="F116" i="7"/>
  <c r="G116" i="7"/>
  <c r="F45" i="124" s="1"/>
  <c r="H117" i="7"/>
  <c r="H118" i="7"/>
  <c r="H119" i="7"/>
  <c r="H120" i="7"/>
  <c r="E135" i="7"/>
  <c r="F135" i="7"/>
  <c r="G135" i="7"/>
  <c r="E141" i="7"/>
  <c r="F141" i="7"/>
  <c r="G141" i="7"/>
  <c r="E144" i="7"/>
  <c r="F144" i="7"/>
  <c r="G144" i="7"/>
  <c r="H145" i="7"/>
  <c r="H146" i="7"/>
  <c r="H147" i="7"/>
  <c r="F149" i="7"/>
  <c r="G149" i="7"/>
  <c r="H150" i="7"/>
  <c r="H151" i="7"/>
  <c r="H152" i="7"/>
  <c r="H153" i="7"/>
  <c r="H154" i="7"/>
  <c r="F162" i="7"/>
  <c r="G162" i="7"/>
  <c r="H162" i="7" s="1"/>
  <c r="H165" i="7"/>
  <c r="H167" i="7"/>
  <c r="F172" i="7"/>
  <c r="H172" i="7" s="1"/>
  <c r="H173" i="7"/>
  <c r="H174" i="7"/>
  <c r="H175" i="7"/>
  <c r="E183" i="7"/>
  <c r="F183" i="7"/>
  <c r="G183" i="7"/>
  <c r="H184" i="7"/>
  <c r="H185" i="7"/>
  <c r="H186" i="7"/>
  <c r="H187" i="7"/>
  <c r="H188" i="7"/>
  <c r="H189" i="7"/>
  <c r="E190" i="7"/>
  <c r="F190" i="7"/>
  <c r="G190" i="7"/>
  <c r="H191" i="7"/>
  <c r="H192" i="7"/>
  <c r="H193" i="7"/>
  <c r="E195" i="7"/>
  <c r="F195" i="7"/>
  <c r="G195" i="7"/>
  <c r="H196" i="7"/>
  <c r="H197" i="7"/>
  <c r="H198" i="7"/>
  <c r="E200" i="7"/>
  <c r="F200" i="7"/>
  <c r="H200" i="7" s="1"/>
  <c r="G200" i="7"/>
  <c r="H201" i="7"/>
  <c r="E202" i="7"/>
  <c r="F202" i="7"/>
  <c r="G202" i="7"/>
  <c r="H203" i="7"/>
  <c r="E204" i="7"/>
  <c r="F204" i="7"/>
  <c r="G204" i="7"/>
  <c r="H205" i="7"/>
  <c r="H206" i="7"/>
  <c r="H207" i="7"/>
  <c r="H208" i="7"/>
  <c r="H209" i="7"/>
  <c r="H210" i="7"/>
  <c r="H211" i="7"/>
  <c r="H212" i="7"/>
  <c r="E213" i="7"/>
  <c r="F213" i="7"/>
  <c r="G213" i="7"/>
  <c r="H213" i="7" s="1"/>
  <c r="H214" i="7"/>
  <c r="E215" i="7"/>
  <c r="F215" i="7"/>
  <c r="G215" i="7"/>
  <c r="H216" i="7"/>
  <c r="H217" i="7"/>
  <c r="H218" i="7"/>
  <c r="E219" i="7"/>
  <c r="F219" i="7"/>
  <c r="G219" i="7"/>
  <c r="H221" i="7"/>
  <c r="F223" i="7"/>
  <c r="L223" i="7" s="1"/>
  <c r="G223" i="7"/>
  <c r="F224" i="7"/>
  <c r="L224" i="7" s="1"/>
  <c r="G224" i="7"/>
  <c r="E225" i="7"/>
  <c r="F225" i="7"/>
  <c r="E227" i="7"/>
  <c r="F227" i="7"/>
  <c r="G227" i="7"/>
  <c r="E228" i="7"/>
  <c r="F228" i="7"/>
  <c r="G228" i="7"/>
  <c r="D9" i="8"/>
  <c r="D10" i="8"/>
  <c r="D11" i="8"/>
  <c r="D12" i="8"/>
  <c r="D13" i="8"/>
  <c r="D14" i="8"/>
  <c r="D15" i="8"/>
  <c r="D18" i="8"/>
  <c r="G38" i="7"/>
  <c r="D23" i="8"/>
  <c r="E29" i="7" s="1"/>
  <c r="D24" i="8"/>
  <c r="D25" i="8"/>
  <c r="D28" i="8"/>
  <c r="D32" i="8"/>
  <c r="D35" i="8"/>
  <c r="D37" i="8"/>
  <c r="D38" i="8"/>
  <c r="G37" i="7"/>
  <c r="D47" i="8"/>
  <c r="D48" i="8"/>
  <c r="D49" i="8"/>
  <c r="D50" i="8"/>
  <c r="D51" i="8"/>
  <c r="D57" i="8"/>
  <c r="D58" i="8"/>
  <c r="D59" i="8"/>
  <c r="D63" i="8"/>
  <c r="D64" i="8"/>
  <c r="D8" i="9"/>
  <c r="D19" i="9"/>
  <c r="D37" i="9"/>
  <c r="G40" i="9"/>
  <c r="D47" i="9"/>
  <c r="G48" i="9"/>
  <c r="G49" i="9"/>
  <c r="G52" i="9"/>
  <c r="D53" i="9"/>
  <c r="G54" i="9"/>
  <c r="D8" i="10"/>
  <c r="D17" i="10"/>
  <c r="G18" i="10"/>
  <c r="D25" i="10"/>
  <c r="G28" i="10"/>
  <c r="D33" i="10"/>
  <c r="G46" i="10"/>
  <c r="G34" i="10"/>
  <c r="G35" i="10"/>
  <c r="G36" i="10"/>
  <c r="G37" i="10"/>
  <c r="G38" i="10"/>
  <c r="D39" i="10"/>
  <c r="D8" i="11"/>
  <c r="D19" i="11"/>
  <c r="D36" i="11"/>
  <c r="G39" i="11"/>
  <c r="D44" i="11"/>
  <c r="G45" i="11"/>
  <c r="G46" i="11"/>
  <c r="G47" i="11"/>
  <c r="D50" i="11"/>
  <c r="D57" i="11" s="1"/>
  <c r="D8" i="12"/>
  <c r="D17" i="12"/>
  <c r="G18" i="12"/>
  <c r="D25" i="12"/>
  <c r="G28" i="12"/>
  <c r="D33" i="12"/>
  <c r="G34" i="12"/>
  <c r="G35" i="12"/>
  <c r="G36" i="12"/>
  <c r="D39" i="12"/>
  <c r="D46" i="12" s="1"/>
  <c r="D8" i="13"/>
  <c r="D19" i="13"/>
  <c r="G19" i="13"/>
  <c r="G20" i="13"/>
  <c r="D36" i="13"/>
  <c r="G39" i="13"/>
  <c r="D44" i="13"/>
  <c r="G45" i="13"/>
  <c r="G46" i="13"/>
  <c r="G47" i="13"/>
  <c r="D50" i="13"/>
  <c r="D8" i="14"/>
  <c r="D19" i="14"/>
  <c r="G20" i="14"/>
  <c r="D36" i="14"/>
  <c r="G39" i="14"/>
  <c r="D45" i="14"/>
  <c r="G46" i="14"/>
  <c r="G47" i="14"/>
  <c r="G48" i="14"/>
  <c r="D51" i="14"/>
  <c r="D58" i="14" s="1"/>
  <c r="D8" i="15"/>
  <c r="D19" i="15"/>
  <c r="G20" i="15"/>
  <c r="D37" i="15"/>
  <c r="G40" i="15"/>
  <c r="D45" i="15"/>
  <c r="G46" i="15"/>
  <c r="G47" i="15"/>
  <c r="G48" i="15"/>
  <c r="D51" i="15"/>
  <c r="D8" i="16"/>
  <c r="D19" i="16"/>
  <c r="G31" i="16"/>
  <c r="D36" i="16"/>
  <c r="G39" i="16"/>
  <c r="D45" i="16"/>
  <c r="G46" i="16"/>
  <c r="G47" i="16"/>
  <c r="G48" i="16"/>
  <c r="D51" i="16"/>
  <c r="D9" i="17"/>
  <c r="D11" i="17"/>
  <c r="D12" i="17"/>
  <c r="D13" i="17"/>
  <c r="D14" i="17"/>
  <c r="D15" i="17"/>
  <c r="D27" i="17"/>
  <c r="D26" i="17" s="1"/>
  <c r="D36" i="17"/>
  <c r="D51" i="17"/>
  <c r="D52" i="17"/>
  <c r="D8" i="18"/>
  <c r="E8" i="18"/>
  <c r="F8" i="18"/>
  <c r="G11" i="18"/>
  <c r="G16" i="18"/>
  <c r="G18" i="18"/>
  <c r="D26" i="18"/>
  <c r="E26" i="18"/>
  <c r="F26" i="18"/>
  <c r="G29" i="18"/>
  <c r="D34" i="18"/>
  <c r="E34" i="18"/>
  <c r="F34" i="18"/>
  <c r="G35" i="18"/>
  <c r="G36" i="18"/>
  <c r="G37" i="18"/>
  <c r="G38" i="18"/>
  <c r="G39" i="18"/>
  <c r="G40" i="18"/>
  <c r="D43" i="18"/>
  <c r="E43" i="18"/>
  <c r="F43" i="18"/>
  <c r="F50" i="18" s="1"/>
  <c r="D51" i="18"/>
  <c r="E51" i="18"/>
  <c r="F51" i="18"/>
  <c r="D8" i="27"/>
  <c r="D19" i="27"/>
  <c r="G20" i="27"/>
  <c r="D36" i="27"/>
  <c r="G39" i="27"/>
  <c r="D46" i="27"/>
  <c r="G59" i="27"/>
  <c r="D52" i="27"/>
  <c r="G53" i="27"/>
  <c r="D8" i="28"/>
  <c r="G10" i="28"/>
  <c r="G14" i="28"/>
  <c r="D19" i="28"/>
  <c r="G20" i="28"/>
  <c r="D33" i="28"/>
  <c r="G34" i="28"/>
  <c r="G43" i="28"/>
  <c r="D50" i="28"/>
  <c r="G51" i="28"/>
  <c r="G52" i="28"/>
  <c r="G53" i="28"/>
  <c r="D56" i="28"/>
  <c r="G56" i="28"/>
  <c r="G57" i="28"/>
  <c r="D8" i="29"/>
  <c r="G14" i="29"/>
  <c r="D19" i="29"/>
  <c r="G20" i="29"/>
  <c r="D33" i="29"/>
  <c r="G43" i="29"/>
  <c r="D47" i="29"/>
  <c r="D50" i="29"/>
  <c r="G51" i="29"/>
  <c r="G52" i="29"/>
  <c r="G53" i="29"/>
  <c r="D56" i="29"/>
  <c r="D8" i="30"/>
  <c r="G10" i="30"/>
  <c r="G11" i="30"/>
  <c r="G14" i="30"/>
  <c r="D19" i="30"/>
  <c r="G20" i="30"/>
  <c r="D33" i="30"/>
  <c r="G43" i="30"/>
  <c r="D50" i="30"/>
  <c r="G51" i="30"/>
  <c r="G52" i="30"/>
  <c r="G53" i="30"/>
  <c r="D57" i="30"/>
  <c r="D8" i="31"/>
  <c r="E8" i="31"/>
  <c r="F8" i="31"/>
  <c r="G10" i="31"/>
  <c r="G11" i="31"/>
  <c r="D19" i="31"/>
  <c r="G20" i="31"/>
  <c r="D36" i="31"/>
  <c r="G39" i="31"/>
  <c r="D45" i="31"/>
  <c r="G46" i="31"/>
  <c r="G47" i="31"/>
  <c r="G48" i="31"/>
  <c r="D51" i="31"/>
  <c r="D8" i="32"/>
  <c r="D26" i="32"/>
  <c r="D34" i="32"/>
  <c r="D40" i="32"/>
  <c r="E9" i="33"/>
  <c r="G9" i="33"/>
  <c r="H10" i="33"/>
  <c r="H11" i="33"/>
  <c r="H12" i="33"/>
  <c r="H13" i="33"/>
  <c r="E14" i="33"/>
  <c r="F14" i="33"/>
  <c r="H15" i="33"/>
  <c r="H16" i="33"/>
  <c r="H17" i="33"/>
  <c r="H18" i="33"/>
  <c r="E19" i="33"/>
  <c r="F19" i="33"/>
  <c r="G19" i="33"/>
  <c r="H20" i="33"/>
  <c r="E28" i="33"/>
  <c r="F28" i="33"/>
  <c r="G28" i="33"/>
  <c r="H29" i="33"/>
  <c r="H30" i="33"/>
  <c r="H31" i="33"/>
  <c r="H32" i="33"/>
  <c r="E33" i="33"/>
  <c r="F33" i="33"/>
  <c r="G33" i="33"/>
  <c r="H34" i="33"/>
  <c r="H35" i="33"/>
  <c r="H36" i="33"/>
  <c r="H37" i="33"/>
  <c r="E38" i="33"/>
  <c r="F38" i="33"/>
  <c r="G38" i="33"/>
  <c r="H39" i="33"/>
  <c r="H40" i="33"/>
  <c r="H41" i="33"/>
  <c r="H42" i="33"/>
  <c r="E43" i="33"/>
  <c r="F43" i="33"/>
  <c r="G43" i="33"/>
  <c r="H44" i="33"/>
  <c r="H45" i="33"/>
  <c r="H46" i="33"/>
  <c r="H48" i="33"/>
  <c r="H51" i="33"/>
  <c r="E58" i="33"/>
  <c r="F58" i="33"/>
  <c r="G58" i="33"/>
  <c r="H59" i="33"/>
  <c r="H60" i="33"/>
  <c r="H61" i="33"/>
  <c r="H62" i="33"/>
  <c r="E63" i="33"/>
  <c r="F63" i="33"/>
  <c r="G63" i="33"/>
  <c r="H64" i="33"/>
  <c r="H65" i="33"/>
  <c r="H66" i="33"/>
  <c r="H67" i="33"/>
  <c r="E68" i="33"/>
  <c r="F68" i="33"/>
  <c r="H69" i="33"/>
  <c r="F72" i="33"/>
  <c r="G72" i="33"/>
  <c r="H73" i="33"/>
  <c r="H74" i="33"/>
  <c r="H75" i="33"/>
  <c r="E78" i="33"/>
  <c r="F78" i="33"/>
  <c r="G78" i="33"/>
  <c r="H79" i="33"/>
  <c r="H80" i="33"/>
  <c r="H81" i="33"/>
  <c r="H82" i="33"/>
  <c r="E83" i="33"/>
  <c r="F83" i="33"/>
  <c r="G83" i="33"/>
  <c r="H84" i="33"/>
  <c r="H85" i="33"/>
  <c r="H86" i="33"/>
  <c r="H87" i="33"/>
  <c r="E88" i="33"/>
  <c r="F88" i="33"/>
  <c r="G88" i="33"/>
  <c r="H89" i="33"/>
  <c r="H90" i="33"/>
  <c r="H91" i="33"/>
  <c r="H92" i="33"/>
  <c r="D8" i="34"/>
  <c r="D36" i="34"/>
  <c r="G39" i="34"/>
  <c r="D45" i="34"/>
  <c r="D51" i="34"/>
  <c r="D50" i="36"/>
  <c r="E5" i="37"/>
  <c r="F5" i="37"/>
  <c r="G5" i="37"/>
  <c r="H5" i="37"/>
  <c r="I5" i="37"/>
  <c r="E12" i="37"/>
  <c r="E11" i="37" s="1"/>
  <c r="E21" i="37" s="1"/>
  <c r="F12" i="37"/>
  <c r="F11" i="37" s="1"/>
  <c r="G12" i="37"/>
  <c r="G11" i="37" s="1"/>
  <c r="G21" i="37" s="1"/>
  <c r="H12" i="37"/>
  <c r="H11" i="37" s="1"/>
  <c r="I12" i="37"/>
  <c r="O26" i="37"/>
  <c r="E31" i="37"/>
  <c r="F31" i="37"/>
  <c r="G31" i="37"/>
  <c r="H31" i="37"/>
  <c r="I31" i="37"/>
  <c r="E38" i="37"/>
  <c r="E37" i="37" s="1"/>
  <c r="E44" i="37" s="1"/>
  <c r="F38" i="37"/>
  <c r="F37" i="37" s="1"/>
  <c r="F44" i="37" s="1"/>
  <c r="G38" i="37"/>
  <c r="G37" i="37" s="1"/>
  <c r="G44" i="37" s="1"/>
  <c r="H38" i="37"/>
  <c r="I38" i="37"/>
  <c r="I37" i="37" s="1"/>
  <c r="I44" i="37" s="1"/>
  <c r="E54" i="37"/>
  <c r="F54" i="37"/>
  <c r="G54" i="37"/>
  <c r="H54" i="37"/>
  <c r="I54" i="37"/>
  <c r="E58" i="37"/>
  <c r="F58" i="37"/>
  <c r="G58" i="37"/>
  <c r="H58" i="37"/>
  <c r="O105" i="37" s="1"/>
  <c r="I58" i="37"/>
  <c r="F62" i="37"/>
  <c r="F69" i="37" s="1"/>
  <c r="E63" i="37"/>
  <c r="E62" i="37" s="1"/>
  <c r="E69" i="37" s="1"/>
  <c r="G63" i="37"/>
  <c r="G62" i="37" s="1"/>
  <c r="G69" i="37" s="1"/>
  <c r="H63" i="37"/>
  <c r="H62" i="37" s="1"/>
  <c r="I63" i="37"/>
  <c r="I62" i="37" s="1"/>
  <c r="E79" i="37"/>
  <c r="F79" i="37"/>
  <c r="G79" i="37"/>
  <c r="H79" i="37"/>
  <c r="I79" i="37"/>
  <c r="E86" i="37"/>
  <c r="E85" i="37" s="1"/>
  <c r="E92" i="37" s="1"/>
  <c r="F86" i="37"/>
  <c r="F85" i="37" s="1"/>
  <c r="F92" i="37" s="1"/>
  <c r="G86" i="37"/>
  <c r="G85" i="37" s="1"/>
  <c r="G92" i="37" s="1"/>
  <c r="G198" i="37" s="1"/>
  <c r="H86" i="37"/>
  <c r="H85" i="37" s="1"/>
  <c r="H92" i="37" s="1"/>
  <c r="I86" i="37"/>
  <c r="I85" i="37" s="1"/>
  <c r="I92" i="37" s="1"/>
  <c r="E102" i="37"/>
  <c r="F102" i="37"/>
  <c r="F199" i="37" s="1"/>
  <c r="G102" i="37"/>
  <c r="H102" i="37"/>
  <c r="I102" i="37"/>
  <c r="N105" i="37"/>
  <c r="N118" i="37" s="1"/>
  <c r="P105" i="37"/>
  <c r="Q105" i="37"/>
  <c r="R105" i="37"/>
  <c r="O106" i="37"/>
  <c r="P106" i="37"/>
  <c r="Q106" i="37"/>
  <c r="R106" i="37"/>
  <c r="S106" i="37"/>
  <c r="O107" i="37"/>
  <c r="P107" i="37"/>
  <c r="Q107" i="37"/>
  <c r="R107" i="37"/>
  <c r="S107" i="37"/>
  <c r="N108" i="37"/>
  <c r="P108" i="37"/>
  <c r="Q108" i="37"/>
  <c r="R108" i="37"/>
  <c r="E109" i="37"/>
  <c r="E108" i="37" s="1"/>
  <c r="E115" i="37" s="1"/>
  <c r="F109" i="37"/>
  <c r="F108" i="37" s="1"/>
  <c r="F115" i="37" s="1"/>
  <c r="G109" i="37"/>
  <c r="G108" i="37" s="1"/>
  <c r="G115" i="37" s="1"/>
  <c r="H109" i="37"/>
  <c r="H108" i="37" s="1"/>
  <c r="H115" i="37" s="1"/>
  <c r="I109" i="37"/>
  <c r="I108" i="37" s="1"/>
  <c r="I115" i="37" s="1"/>
  <c r="N109" i="37"/>
  <c r="P109" i="37"/>
  <c r="Q109" i="37"/>
  <c r="R109" i="37"/>
  <c r="N110" i="37"/>
  <c r="O110" i="37"/>
  <c r="P110" i="37"/>
  <c r="Q110" i="37"/>
  <c r="R110" i="37"/>
  <c r="S110" i="37"/>
  <c r="N112" i="37"/>
  <c r="O112" i="37"/>
  <c r="P112" i="37"/>
  <c r="Q112" i="37"/>
  <c r="R112" i="37"/>
  <c r="S112" i="37"/>
  <c r="N114" i="37"/>
  <c r="O114" i="37"/>
  <c r="P114" i="37"/>
  <c r="Q114" i="37"/>
  <c r="R114" i="37"/>
  <c r="S114" i="37"/>
  <c r="Q115" i="37"/>
  <c r="R115" i="37"/>
  <c r="S115" i="37"/>
  <c r="Q116" i="37"/>
  <c r="R116" i="37"/>
  <c r="S116" i="37"/>
  <c r="O120" i="37"/>
  <c r="P120" i="37"/>
  <c r="Q120" i="37"/>
  <c r="R120" i="37"/>
  <c r="R130" i="37" s="1"/>
  <c r="S120" i="37"/>
  <c r="O123" i="37"/>
  <c r="P123" i="37"/>
  <c r="Q123" i="37"/>
  <c r="R123" i="37"/>
  <c r="S123" i="37"/>
  <c r="E125" i="37"/>
  <c r="F125" i="37"/>
  <c r="G125" i="37"/>
  <c r="H125" i="37"/>
  <c r="I125" i="37"/>
  <c r="O125" i="37"/>
  <c r="P125" i="37"/>
  <c r="Q125" i="37"/>
  <c r="R125" i="37"/>
  <c r="S125" i="37"/>
  <c r="N126" i="37"/>
  <c r="O126" i="37"/>
  <c r="P126" i="37"/>
  <c r="Q126" i="37"/>
  <c r="R126" i="37"/>
  <c r="S126" i="37"/>
  <c r="N127" i="37"/>
  <c r="O127" i="37"/>
  <c r="P127" i="37"/>
  <c r="Q127" i="37"/>
  <c r="R127" i="37"/>
  <c r="S127" i="37"/>
  <c r="N128" i="37"/>
  <c r="P128" i="37"/>
  <c r="Q128" i="37"/>
  <c r="R128" i="37"/>
  <c r="S128" i="37"/>
  <c r="N129" i="37"/>
  <c r="N130" i="37"/>
  <c r="P130" i="37"/>
  <c r="Q130" i="37"/>
  <c r="P131" i="37"/>
  <c r="Q131" i="37"/>
  <c r="R131" i="37"/>
  <c r="S131" i="37"/>
  <c r="E132" i="37"/>
  <c r="N120" i="37" s="1"/>
  <c r="F132" i="37"/>
  <c r="F131" i="37" s="1"/>
  <c r="F138" i="37" s="1"/>
  <c r="G132" i="37"/>
  <c r="G131" i="37" s="1"/>
  <c r="G138" i="37" s="1"/>
  <c r="H132" i="37"/>
  <c r="I132" i="37"/>
  <c r="I131" i="37" s="1"/>
  <c r="E148" i="37"/>
  <c r="F148" i="37"/>
  <c r="G148" i="37"/>
  <c r="H148" i="37"/>
  <c r="I148" i="37"/>
  <c r="E152" i="37"/>
  <c r="F152" i="37"/>
  <c r="G152" i="37"/>
  <c r="H152" i="37"/>
  <c r="I152" i="37"/>
  <c r="F156" i="37"/>
  <c r="E157" i="37"/>
  <c r="E156" i="37" s="1"/>
  <c r="E163" i="37" s="1"/>
  <c r="G157" i="37"/>
  <c r="G156" i="37" s="1"/>
  <c r="H157" i="37"/>
  <c r="H156" i="37" s="1"/>
  <c r="I157" i="37"/>
  <c r="I156" i="37" s="1"/>
  <c r="P167" i="37"/>
  <c r="E173" i="37"/>
  <c r="F173" i="37"/>
  <c r="G173" i="37"/>
  <c r="H173" i="37"/>
  <c r="I173" i="37"/>
  <c r="E180" i="37"/>
  <c r="E179" i="37" s="1"/>
  <c r="E186" i="37" s="1"/>
  <c r="F180" i="37"/>
  <c r="F179" i="37" s="1"/>
  <c r="F186" i="37" s="1"/>
  <c r="G180" i="37"/>
  <c r="G179" i="37" s="1"/>
  <c r="G186" i="37" s="1"/>
  <c r="H180" i="37"/>
  <c r="H179" i="37" s="1"/>
  <c r="H186" i="37" s="1"/>
  <c r="I180" i="37"/>
  <c r="I179" i="37" s="1"/>
  <c r="I186" i="37" s="1"/>
  <c r="E196" i="37"/>
  <c r="F196" i="37"/>
  <c r="G196" i="37"/>
  <c r="H196" i="37"/>
  <c r="I196" i="37"/>
  <c r="G199" i="37"/>
  <c r="E200" i="37"/>
  <c r="F200" i="37"/>
  <c r="G200" i="37"/>
  <c r="H200" i="37"/>
  <c r="O131" i="37" s="1"/>
  <c r="E218" i="37"/>
  <c r="F218" i="37"/>
  <c r="D8" i="19"/>
  <c r="E8" i="19"/>
  <c r="F8" i="19"/>
  <c r="D17" i="19"/>
  <c r="E17" i="19"/>
  <c r="F17" i="19"/>
  <c r="G18" i="19"/>
  <c r="D24" i="19"/>
  <c r="E24" i="19"/>
  <c r="F24" i="19"/>
  <c r="G27" i="19"/>
  <c r="D32" i="19"/>
  <c r="E32" i="19"/>
  <c r="F32" i="19"/>
  <c r="G33" i="19"/>
  <c r="G34" i="19"/>
  <c r="G35" i="19"/>
  <c r="D38" i="19"/>
  <c r="E38" i="19"/>
  <c r="F38" i="19"/>
  <c r="G39" i="19"/>
  <c r="D8" i="20"/>
  <c r="E8" i="20"/>
  <c r="F8" i="20"/>
  <c r="G11" i="20"/>
  <c r="G18" i="20"/>
  <c r="D17" i="20"/>
  <c r="D26" i="20"/>
  <c r="E26" i="20"/>
  <c r="F26" i="20"/>
  <c r="G29" i="20"/>
  <c r="D34" i="20"/>
  <c r="D50" i="20" s="1"/>
  <c r="E34" i="20"/>
  <c r="F34" i="20"/>
  <c r="G35" i="20"/>
  <c r="G36" i="20"/>
  <c r="G37" i="20"/>
  <c r="G38" i="20"/>
  <c r="G39" i="20"/>
  <c r="G40" i="20"/>
  <c r="D43" i="20"/>
  <c r="E43" i="20"/>
  <c r="F43" i="20"/>
  <c r="G44" i="20"/>
  <c r="D51" i="20"/>
  <c r="E51" i="20"/>
  <c r="F51" i="20"/>
  <c r="D8" i="21"/>
  <c r="E8" i="21"/>
  <c r="F8" i="21"/>
  <c r="G11" i="21"/>
  <c r="D17" i="21"/>
  <c r="E17" i="21"/>
  <c r="F17" i="21"/>
  <c r="G18" i="21"/>
  <c r="G21" i="21"/>
  <c r="D24" i="21"/>
  <c r="E24" i="21"/>
  <c r="F24" i="21"/>
  <c r="G27" i="21"/>
  <c r="D32" i="21"/>
  <c r="E32" i="21"/>
  <c r="F32" i="21"/>
  <c r="G33" i="21"/>
  <c r="G34" i="21"/>
  <c r="G35" i="21"/>
  <c r="D38" i="21"/>
  <c r="E38" i="21"/>
  <c r="F38" i="21"/>
  <c r="G39" i="21"/>
  <c r="D8" i="22"/>
  <c r="E8" i="22"/>
  <c r="F8" i="22"/>
  <c r="G11" i="22"/>
  <c r="D17" i="22"/>
  <c r="E17" i="22"/>
  <c r="F17" i="22"/>
  <c r="G18" i="22"/>
  <c r="G21" i="22"/>
  <c r="D24" i="22"/>
  <c r="E24" i="22"/>
  <c r="F24" i="22"/>
  <c r="G27" i="22"/>
  <c r="D32" i="22"/>
  <c r="E32" i="22"/>
  <c r="F32" i="22"/>
  <c r="G33" i="22"/>
  <c r="G34" i="22"/>
  <c r="G35" i="22"/>
  <c r="D38" i="22"/>
  <c r="E38" i="22"/>
  <c r="F38" i="22"/>
  <c r="G39" i="22"/>
  <c r="D8" i="23"/>
  <c r="E8" i="23"/>
  <c r="F8" i="23"/>
  <c r="G10" i="23"/>
  <c r="D17" i="23"/>
  <c r="E17" i="23"/>
  <c r="F17" i="23"/>
  <c r="G18" i="23"/>
  <c r="G27" i="23"/>
  <c r="D32" i="23"/>
  <c r="E32" i="23"/>
  <c r="F32" i="23"/>
  <c r="G33" i="23"/>
  <c r="G34" i="23"/>
  <c r="G35" i="23"/>
  <c r="D38" i="23"/>
  <c r="E38" i="23"/>
  <c r="F38" i="23"/>
  <c r="D8" i="25"/>
  <c r="D19" i="25"/>
  <c r="D47" i="25"/>
  <c r="D56" i="25"/>
  <c r="D64" i="25"/>
  <c r="D8" i="26"/>
  <c r="D19" i="26"/>
  <c r="D36" i="26"/>
  <c r="D46" i="26"/>
  <c r="D59" i="26" s="1"/>
  <c r="E2" i="40"/>
  <c r="F2" i="40"/>
  <c r="F4" i="40"/>
  <c r="G4" i="40"/>
  <c r="G3" i="40" s="1"/>
  <c r="G2" i="40" s="1"/>
  <c r="H4" i="40"/>
  <c r="H3" i="40" s="1"/>
  <c r="H2" i="40" s="1"/>
  <c r="I3" i="40"/>
  <c r="I2" i="40" s="1"/>
  <c r="F9" i="40"/>
  <c r="G11" i="40"/>
  <c r="G10" i="40" s="1"/>
  <c r="G9" i="40" s="1"/>
  <c r="H11" i="40"/>
  <c r="H10" i="40" s="1"/>
  <c r="H9" i="40" s="1"/>
  <c r="I30" i="40"/>
  <c r="J30" i="40"/>
  <c r="J28" i="40" s="1"/>
  <c r="E37" i="40"/>
  <c r="E28" i="40" s="1"/>
  <c r="F37" i="40"/>
  <c r="F28" i="40" s="1"/>
  <c r="G37" i="40"/>
  <c r="G28" i="40" s="1"/>
  <c r="H37" i="40"/>
  <c r="H28" i="40" s="1"/>
  <c r="I37" i="40"/>
  <c r="E46" i="40"/>
  <c r="F46" i="40"/>
  <c r="G55" i="40"/>
  <c r="H55" i="40"/>
  <c r="I55" i="40"/>
  <c r="H60" i="40"/>
  <c r="G60" i="40"/>
  <c r="G46" i="40" s="1"/>
  <c r="I71" i="40"/>
  <c r="E3" i="41"/>
  <c r="E2" i="41" s="1"/>
  <c r="F2" i="41"/>
  <c r="E14" i="41"/>
  <c r="G6" i="42"/>
  <c r="G7" i="42"/>
  <c r="G8" i="42"/>
  <c r="G9" i="42"/>
  <c r="G10" i="42"/>
  <c r="G11" i="42"/>
  <c r="C12" i="42"/>
  <c r="D12" i="42"/>
  <c r="E12" i="42"/>
  <c r="F12" i="42"/>
  <c r="C12" i="43"/>
  <c r="C8" i="44"/>
  <c r="S105" i="37"/>
  <c r="F45" i="23"/>
  <c r="H131" i="37"/>
  <c r="H138" i="37" s="1"/>
  <c r="G57" i="33"/>
  <c r="G56" i="33"/>
  <c r="G76" i="33" s="1"/>
  <c r="E8" i="33"/>
  <c r="E7" i="33" s="1"/>
  <c r="E26" i="33" s="1"/>
  <c r="H163" i="7"/>
  <c r="H56" i="7"/>
  <c r="G106" i="6"/>
  <c r="G26" i="36"/>
  <c r="H88" i="33"/>
  <c r="F57" i="33"/>
  <c r="H57" i="33" s="1"/>
  <c r="H9" i="33"/>
  <c r="G41" i="32"/>
  <c r="G40" i="32"/>
  <c r="D17" i="18"/>
  <c r="D31" i="18" s="1"/>
  <c r="H144" i="7"/>
  <c r="F38" i="7"/>
  <c r="F37" i="7"/>
  <c r="F56" i="6"/>
  <c r="G9" i="5"/>
  <c r="C17" i="3"/>
  <c r="C25" i="3" s="1"/>
  <c r="G61" i="5"/>
  <c r="F29" i="23"/>
  <c r="E45" i="21"/>
  <c r="E29" i="21"/>
  <c r="F17" i="20"/>
  <c r="G48" i="34"/>
  <c r="G33" i="28"/>
  <c r="G30" i="10"/>
  <c r="G58" i="15"/>
  <c r="H136" i="6"/>
  <c r="D11" i="5"/>
  <c r="G97" i="7"/>
  <c r="H97" i="7" s="1"/>
  <c r="F162" i="6"/>
  <c r="H148" i="6"/>
  <c r="H18" i="7"/>
  <c r="G63" i="5"/>
  <c r="G14" i="17"/>
  <c r="G11" i="17"/>
  <c r="G13" i="17"/>
  <c r="E45" i="19"/>
  <c r="E45" i="23"/>
  <c r="H63" i="33"/>
  <c r="G66" i="30"/>
  <c r="G50" i="29"/>
  <c r="G50" i="33"/>
  <c r="E45" i="22"/>
  <c r="G41" i="11"/>
  <c r="N106" i="37"/>
  <c r="G19" i="16"/>
  <c r="E13" i="7"/>
  <c r="G162" i="6"/>
  <c r="H59" i="6"/>
  <c r="F17" i="18"/>
  <c r="I28" i="40"/>
  <c r="G63" i="28"/>
  <c r="G19" i="14"/>
  <c r="G33" i="12"/>
  <c r="G17" i="12"/>
  <c r="H99" i="7"/>
  <c r="E46" i="5"/>
  <c r="H99" i="6"/>
  <c r="G27" i="5"/>
  <c r="F29" i="6"/>
  <c r="H190" i="7"/>
  <c r="H149" i="7"/>
  <c r="G33" i="10"/>
  <c r="G17" i="10"/>
  <c r="G44" i="13"/>
  <c r="G45" i="15"/>
  <c r="G45" i="16"/>
  <c r="G51" i="18"/>
  <c r="G8" i="18"/>
  <c r="G43" i="20"/>
  <c r="G34" i="20"/>
  <c r="G19" i="20"/>
  <c r="E17" i="20"/>
  <c r="E31" i="20" s="1"/>
  <c r="G32" i="21"/>
  <c r="G38" i="22"/>
  <c r="G17" i="22"/>
  <c r="G8" i="23"/>
  <c r="G51" i="24"/>
  <c r="G33" i="24"/>
  <c r="G47" i="25"/>
  <c r="G46" i="26"/>
  <c r="G19" i="26"/>
  <c r="G19" i="27"/>
  <c r="G50" i="28"/>
  <c r="G8" i="28"/>
  <c r="G50" i="30"/>
  <c r="G8" i="30"/>
  <c r="G45" i="31"/>
  <c r="G8" i="34"/>
  <c r="G36" i="32"/>
  <c r="G35" i="32"/>
  <c r="G29" i="32"/>
  <c r="G37" i="32"/>
  <c r="F56" i="33"/>
  <c r="F76" i="33" s="1"/>
  <c r="G39" i="32"/>
  <c r="G47" i="34"/>
  <c r="G46" i="34"/>
  <c r="G50" i="9"/>
  <c r="G59" i="9"/>
  <c r="G58" i="14"/>
  <c r="G46" i="12"/>
  <c r="G58" i="16"/>
  <c r="G57" i="11"/>
  <c r="G44" i="11"/>
  <c r="H29" i="7"/>
  <c r="H141" i="6"/>
  <c r="G47" i="9"/>
  <c r="G50" i="34"/>
  <c r="H83" i="33"/>
  <c r="H33" i="33"/>
  <c r="G19" i="31"/>
  <c r="G19" i="30"/>
  <c r="G19" i="29"/>
  <c r="G63" i="29"/>
  <c r="G8" i="29"/>
  <c r="G47" i="29"/>
  <c r="G47" i="28"/>
  <c r="G46" i="27"/>
  <c r="G19" i="25"/>
  <c r="G64" i="25"/>
  <c r="G44" i="24"/>
  <c r="G52" i="24"/>
  <c r="G17" i="23"/>
  <c r="F45" i="22"/>
  <c r="G45" i="22" s="1"/>
  <c r="F29" i="22"/>
  <c r="G17" i="19"/>
  <c r="F31" i="18"/>
  <c r="E17" i="18"/>
  <c r="E31" i="18" s="1"/>
  <c r="G19" i="18"/>
  <c r="H46" i="6"/>
  <c r="H17" i="6"/>
  <c r="G22" i="5"/>
  <c r="H26" i="6"/>
  <c r="G29" i="5"/>
  <c r="H68" i="6"/>
  <c r="G23" i="5"/>
  <c r="H9" i="6"/>
  <c r="S130" i="37"/>
  <c r="F31" i="20"/>
  <c r="G17" i="24"/>
  <c r="G47" i="30"/>
  <c r="E100" i="33"/>
  <c r="E56" i="33"/>
  <c r="E76" i="33" s="1"/>
  <c r="E50" i="33"/>
  <c r="G20" i="34"/>
  <c r="G51" i="36"/>
  <c r="G37" i="17"/>
  <c r="G23" i="32"/>
  <c r="G18" i="32"/>
  <c r="G17" i="32"/>
  <c r="G36" i="7"/>
  <c r="G31" i="32"/>
  <c r="G30" i="24"/>
  <c r="E29" i="6"/>
  <c r="G42" i="15"/>
  <c r="G37" i="5"/>
  <c r="H228" i="7"/>
  <c r="F13" i="7"/>
  <c r="G7" i="3"/>
  <c r="F168" i="7"/>
  <c r="D70" i="5"/>
  <c r="E168" i="7"/>
  <c r="G6" i="3"/>
  <c r="I199" i="37"/>
  <c r="I69" i="37"/>
  <c r="E37" i="41"/>
  <c r="I163" i="37"/>
  <c r="D42" i="31"/>
  <c r="D47" i="30"/>
  <c r="G27" i="17"/>
  <c r="H46" i="40"/>
  <c r="G111" i="40"/>
  <c r="G115" i="40" s="1"/>
  <c r="E111" i="40"/>
  <c r="F10" i="40"/>
  <c r="F111" i="40"/>
  <c r="F11" i="40"/>
  <c r="G12" i="5"/>
  <c r="D19" i="5"/>
  <c r="M223" i="7" l="1"/>
  <c r="G226" i="7"/>
  <c r="E75" i="135"/>
  <c r="E73" i="135" s="1"/>
  <c r="E75" i="134"/>
  <c r="E75" i="136"/>
  <c r="E70" i="130"/>
  <c r="E70" i="129"/>
  <c r="E70" i="128"/>
  <c r="E75" i="124"/>
  <c r="E73" i="124" s="1"/>
  <c r="F60" i="124"/>
  <c r="F55" i="5"/>
  <c r="G143" i="7"/>
  <c r="F55" i="129" s="1"/>
  <c r="D63" i="136"/>
  <c r="D62" i="136" s="1"/>
  <c r="D59" i="136" s="1"/>
  <c r="D56" i="136" s="1"/>
  <c r="D63" i="134"/>
  <c r="D62" i="134" s="1"/>
  <c r="D59" i="134" s="1"/>
  <c r="D56" i="134" s="1"/>
  <c r="D63" i="135"/>
  <c r="D62" i="135" s="1"/>
  <c r="D59" i="135" s="1"/>
  <c r="D56" i="135" s="1"/>
  <c r="D58" i="129"/>
  <c r="D57" i="129" s="1"/>
  <c r="D54" i="129" s="1"/>
  <c r="D51" i="129" s="1"/>
  <c r="D58" i="128"/>
  <c r="D57" i="128" s="1"/>
  <c r="D54" i="128" s="1"/>
  <c r="D51" i="128" s="1"/>
  <c r="D58" i="130"/>
  <c r="D57" i="130" s="1"/>
  <c r="D54" i="130" s="1"/>
  <c r="D51" i="130" s="1"/>
  <c r="D63" i="124"/>
  <c r="D62" i="124" s="1"/>
  <c r="D59" i="124" s="1"/>
  <c r="D56" i="124" s="1"/>
  <c r="E45" i="136"/>
  <c r="G45" i="136" s="1"/>
  <c r="E45" i="135"/>
  <c r="G45" i="135" s="1"/>
  <c r="E45" i="134"/>
  <c r="G45" i="134" s="1"/>
  <c r="E40" i="128"/>
  <c r="G40" i="128" s="1"/>
  <c r="E40" i="130"/>
  <c r="G40" i="130" s="1"/>
  <c r="E40" i="129"/>
  <c r="G40" i="129" s="1"/>
  <c r="E45" i="124"/>
  <c r="E44" i="134"/>
  <c r="G44" i="134" s="1"/>
  <c r="E44" i="136"/>
  <c r="G44" i="136" s="1"/>
  <c r="E44" i="135"/>
  <c r="G44" i="135" s="1"/>
  <c r="E39" i="130"/>
  <c r="G39" i="130" s="1"/>
  <c r="E39" i="129"/>
  <c r="G39" i="129" s="1"/>
  <c r="E39" i="128"/>
  <c r="G39" i="128" s="1"/>
  <c r="E44" i="124"/>
  <c r="D43" i="136"/>
  <c r="D43" i="135"/>
  <c r="D43" i="134"/>
  <c r="D38" i="130"/>
  <c r="D38" i="129"/>
  <c r="D38" i="128"/>
  <c r="D43" i="124"/>
  <c r="D75" i="136"/>
  <c r="D73" i="136" s="1"/>
  <c r="D75" i="135"/>
  <c r="D73" i="135" s="1"/>
  <c r="D75" i="134"/>
  <c r="D73" i="134" s="1"/>
  <c r="D70" i="130"/>
  <c r="D68" i="130" s="1"/>
  <c r="D70" i="129"/>
  <c r="D68" i="129" s="1"/>
  <c r="D70" i="128"/>
  <c r="D68" i="128" s="1"/>
  <c r="D75" i="124"/>
  <c r="D73" i="124" s="1"/>
  <c r="F70" i="129"/>
  <c r="F75" i="124"/>
  <c r="E61" i="136"/>
  <c r="G61" i="136" s="1"/>
  <c r="E61" i="135"/>
  <c r="E61" i="134"/>
  <c r="G61" i="134" s="1"/>
  <c r="E56" i="130"/>
  <c r="G56" i="130" s="1"/>
  <c r="E56" i="129"/>
  <c r="E56" i="128"/>
  <c r="G56" i="128" s="1"/>
  <c r="E61" i="124"/>
  <c r="E63" i="134"/>
  <c r="E63" i="135"/>
  <c r="E63" i="136"/>
  <c r="E58" i="130"/>
  <c r="E58" i="129"/>
  <c r="E58" i="128"/>
  <c r="E63" i="124"/>
  <c r="I45" i="124"/>
  <c r="I9" i="2"/>
  <c r="G45" i="124"/>
  <c r="D45" i="135"/>
  <c r="D45" i="134"/>
  <c r="D45" i="136"/>
  <c r="D40" i="130"/>
  <c r="D40" i="129"/>
  <c r="D40" i="128"/>
  <c r="D45" i="124"/>
  <c r="I39" i="5"/>
  <c r="D44" i="134"/>
  <c r="D44" i="136"/>
  <c r="D44" i="135"/>
  <c r="D39" i="130"/>
  <c r="D39" i="129"/>
  <c r="D39" i="128"/>
  <c r="D44" i="124"/>
  <c r="E43" i="136"/>
  <c r="E43" i="135"/>
  <c r="E43" i="134"/>
  <c r="E38" i="130"/>
  <c r="E38" i="129"/>
  <c r="E38" i="128"/>
  <c r="E43" i="124"/>
  <c r="F56" i="129"/>
  <c r="F61" i="124"/>
  <c r="F56" i="5"/>
  <c r="G38" i="136"/>
  <c r="G20" i="127"/>
  <c r="G19" i="127" s="1"/>
  <c r="G20" i="126"/>
  <c r="G19" i="126" s="1"/>
  <c r="G20" i="125"/>
  <c r="G19" i="125" s="1"/>
  <c r="G96" i="6"/>
  <c r="F16" i="5"/>
  <c r="F7" i="5" s="1"/>
  <c r="F33" i="5" s="1"/>
  <c r="F16" i="124"/>
  <c r="G100" i="6"/>
  <c r="G8" i="124"/>
  <c r="G18" i="124"/>
  <c r="D16" i="124"/>
  <c r="D7" i="124" s="1"/>
  <c r="F11" i="5"/>
  <c r="F11" i="124"/>
  <c r="G11" i="124" s="1"/>
  <c r="D19" i="8"/>
  <c r="H38" i="7"/>
  <c r="G107" i="6"/>
  <c r="G164" i="6" s="1"/>
  <c r="G166" i="6" s="1"/>
  <c r="G8" i="31"/>
  <c r="E41" i="5"/>
  <c r="D8" i="5"/>
  <c r="D45" i="36"/>
  <c r="D44" i="114" s="1"/>
  <c r="D44" i="83"/>
  <c r="D44" i="82"/>
  <c r="D44" i="81"/>
  <c r="D58" i="5"/>
  <c r="D57" i="5" s="1"/>
  <c r="E39" i="5"/>
  <c r="G7" i="7"/>
  <c r="D38" i="5"/>
  <c r="D55" i="8"/>
  <c r="D10" i="36"/>
  <c r="D10" i="114" s="1"/>
  <c r="D8" i="114" s="1"/>
  <c r="D10" i="83"/>
  <c r="D8" i="83" s="1"/>
  <c r="D10" i="82"/>
  <c r="D8" i="82" s="1"/>
  <c r="D10" i="81"/>
  <c r="D8" i="81" s="1"/>
  <c r="D47" i="36"/>
  <c r="D49" i="17" s="1"/>
  <c r="D46" i="83"/>
  <c r="D46" i="82"/>
  <c r="D46" i="81"/>
  <c r="D46" i="36"/>
  <c r="D48" i="17" s="1"/>
  <c r="D45" i="81"/>
  <c r="D45" i="83"/>
  <c r="D45" i="82"/>
  <c r="D39" i="82"/>
  <c r="D39" i="83"/>
  <c r="D39" i="81"/>
  <c r="D21" i="36"/>
  <c r="D21" i="17" s="1"/>
  <c r="D19" i="17" s="1"/>
  <c r="D21" i="83"/>
  <c r="D19" i="83" s="1"/>
  <c r="D21" i="82"/>
  <c r="D19" i="82" s="1"/>
  <c r="D21" i="81"/>
  <c r="D19" i="81" s="1"/>
  <c r="F70" i="5"/>
  <c r="E56" i="5"/>
  <c r="E58" i="5"/>
  <c r="E57" i="5" s="1"/>
  <c r="E54" i="5" s="1"/>
  <c r="D40" i="5"/>
  <c r="D39" i="5"/>
  <c r="E38" i="5"/>
  <c r="E26" i="5"/>
  <c r="E11" i="5"/>
  <c r="D57" i="36"/>
  <c r="D56" i="114" s="1"/>
  <c r="D55" i="82"/>
  <c r="D55" i="81"/>
  <c r="D55" i="83"/>
  <c r="D10" i="113"/>
  <c r="D8" i="113" s="1"/>
  <c r="D47" i="113"/>
  <c r="D47" i="112"/>
  <c r="D49" i="113"/>
  <c r="D49" i="112"/>
  <c r="D48" i="113"/>
  <c r="D48" i="112"/>
  <c r="D59" i="17"/>
  <c r="D59" i="113"/>
  <c r="E70" i="5"/>
  <c r="K225" i="7"/>
  <c r="K224" i="7"/>
  <c r="H225" i="7"/>
  <c r="L225" i="7"/>
  <c r="E42" i="31"/>
  <c r="M224" i="7"/>
  <c r="M225" i="7"/>
  <c r="D19" i="34"/>
  <c r="F145" i="6"/>
  <c r="E40" i="5"/>
  <c r="F40" i="5"/>
  <c r="I40" i="5" s="1"/>
  <c r="G31" i="18"/>
  <c r="E135" i="6"/>
  <c r="J104" i="58"/>
  <c r="G23" i="57" s="1"/>
  <c r="H195" i="7"/>
  <c r="F226" i="7"/>
  <c r="H224" i="7"/>
  <c r="H14" i="7"/>
  <c r="H13" i="7"/>
  <c r="E57" i="33"/>
  <c r="G34" i="18"/>
  <c r="H30" i="6"/>
  <c r="H111" i="6"/>
  <c r="E25" i="3"/>
  <c r="H43" i="33"/>
  <c r="H38" i="33"/>
  <c r="H28" i="33"/>
  <c r="H19" i="33"/>
  <c r="G17" i="18"/>
  <c r="F18" i="5"/>
  <c r="G32" i="23"/>
  <c r="G32" i="22"/>
  <c r="E29" i="22"/>
  <c r="G17" i="21"/>
  <c r="G8" i="21"/>
  <c r="G51" i="20"/>
  <c r="F50" i="20"/>
  <c r="E50" i="20"/>
  <c r="E18" i="5"/>
  <c r="E3" i="58"/>
  <c r="E175" i="58" s="1"/>
  <c r="F29" i="19"/>
  <c r="E199" i="37"/>
  <c r="F100" i="33"/>
  <c r="H72" i="33"/>
  <c r="D41" i="14"/>
  <c r="D46" i="8"/>
  <c r="D8" i="8"/>
  <c r="H204" i="7"/>
  <c r="H215" i="7"/>
  <c r="H223" i="7"/>
  <c r="D18" i="5"/>
  <c r="D16" i="5" s="1"/>
  <c r="E4" i="6"/>
  <c r="D26" i="5"/>
  <c r="E56" i="6"/>
  <c r="H56" i="6"/>
  <c r="H29" i="6"/>
  <c r="D68" i="5"/>
  <c r="G17" i="20"/>
  <c r="G45" i="23"/>
  <c r="H56" i="33"/>
  <c r="E29" i="23"/>
  <c r="G29" i="23" s="1"/>
  <c r="F50" i="33"/>
  <c r="H50" i="33" s="1"/>
  <c r="H14" i="33"/>
  <c r="F8" i="33"/>
  <c r="F7" i="33" s="1"/>
  <c r="F26" i="33" s="1"/>
  <c r="G8" i="33"/>
  <c r="G7" i="33" s="1"/>
  <c r="G26" i="33" s="1"/>
  <c r="D18" i="32"/>
  <c r="C8" i="3"/>
  <c r="G32" i="19"/>
  <c r="F45" i="19"/>
  <c r="G45" i="19" s="1"/>
  <c r="H37" i="37"/>
  <c r="H44" i="37" s="1"/>
  <c r="O109" i="37"/>
  <c r="I11" i="37"/>
  <c r="I21" i="37" s="1"/>
  <c r="S109" i="37"/>
  <c r="G100" i="33"/>
  <c r="H78" i="33"/>
  <c r="H68" i="33"/>
  <c r="E41" i="7"/>
  <c r="D45" i="5" s="1"/>
  <c r="H116" i="7"/>
  <c r="D42" i="34"/>
  <c r="D31" i="20"/>
  <c r="M29" i="20" s="1"/>
  <c r="E29" i="19"/>
  <c r="D29" i="19"/>
  <c r="H199" i="37"/>
  <c r="F21" i="37"/>
  <c r="F198" i="37" s="1"/>
  <c r="H58" i="33"/>
  <c r="D46" i="10"/>
  <c r="D44" i="9"/>
  <c r="H135" i="6"/>
  <c r="F149" i="6"/>
  <c r="F163" i="6" s="1"/>
  <c r="G229" i="7"/>
  <c r="E229" i="7"/>
  <c r="G31" i="20"/>
  <c r="H111" i="40"/>
  <c r="D55" i="34"/>
  <c r="D58" i="15"/>
  <c r="D41" i="11"/>
  <c r="H183" i="7"/>
  <c r="E8" i="5"/>
  <c r="L123" i="58"/>
  <c r="G20" i="8"/>
  <c r="G19" i="8" s="1"/>
  <c r="L133" i="58"/>
  <c r="D17" i="3"/>
  <c r="H37" i="7"/>
  <c r="F36" i="7"/>
  <c r="H36" i="7" s="1"/>
  <c r="H69" i="37"/>
  <c r="E198" i="37"/>
  <c r="F163" i="37"/>
  <c r="G53" i="17"/>
  <c r="G33" i="7"/>
  <c r="D6" i="3"/>
  <c r="G46" i="36"/>
  <c r="G48" i="17"/>
  <c r="G10" i="36"/>
  <c r="G8" i="36"/>
  <c r="G46" i="5"/>
  <c r="H27" i="7"/>
  <c r="G55" i="34"/>
  <c r="G45" i="34"/>
  <c r="G51" i="17"/>
  <c r="G41" i="7"/>
  <c r="H55" i="7"/>
  <c r="F37" i="41"/>
  <c r="E158" i="7" s="1"/>
  <c r="G2" i="41"/>
  <c r="G37" i="41" s="1"/>
  <c r="K104" i="58"/>
  <c r="K175" i="58" s="1"/>
  <c r="L38" i="58"/>
  <c r="H3" i="58"/>
  <c r="L105" i="58"/>
  <c r="J3" i="58"/>
  <c r="L80" i="58"/>
  <c r="L4" i="58"/>
  <c r="I18" i="57"/>
  <c r="G28" i="5"/>
  <c r="I138" i="37"/>
  <c r="S108" i="37"/>
  <c r="S118" i="37" s="1"/>
  <c r="G44" i="36"/>
  <c r="G45" i="36"/>
  <c r="D10" i="17"/>
  <c r="D8" i="36"/>
  <c r="D45" i="23"/>
  <c r="H163" i="37"/>
  <c r="R118" i="37"/>
  <c r="H202" i="7"/>
  <c r="F106" i="6"/>
  <c r="E7" i="68"/>
  <c r="E12" i="68" s="1"/>
  <c r="E17" i="68"/>
  <c r="G29" i="22"/>
  <c r="F29" i="21"/>
  <c r="G29" i="21" s="1"/>
  <c r="D58" i="16"/>
  <c r="D42" i="15"/>
  <c r="D43" i="26"/>
  <c r="I43" i="26" s="1"/>
  <c r="G8" i="22"/>
  <c r="G38" i="21"/>
  <c r="D47" i="32"/>
  <c r="G52" i="27"/>
  <c r="G57" i="13"/>
  <c r="D41" i="13"/>
  <c r="D30" i="12"/>
  <c r="J28" i="12" s="1"/>
  <c r="C12" i="3"/>
  <c r="G12" i="42"/>
  <c r="G19" i="15"/>
  <c r="G45" i="14"/>
  <c r="E110" i="6"/>
  <c r="E145" i="6" s="1"/>
  <c r="E149" i="6" s="1"/>
  <c r="E163" i="6" s="1"/>
  <c r="G44" i="25"/>
  <c r="D44" i="25"/>
  <c r="D59" i="9"/>
  <c r="G26" i="17"/>
  <c r="G36" i="17"/>
  <c r="E15" i="68"/>
  <c r="G47" i="32"/>
  <c r="H168" i="7"/>
  <c r="H7" i="6"/>
  <c r="K71" i="33"/>
  <c r="G34" i="32"/>
  <c r="D63" i="25"/>
  <c r="G8" i="20"/>
  <c r="G38" i="19"/>
  <c r="O130" i="37"/>
  <c r="D66" i="30"/>
  <c r="D47" i="28"/>
  <c r="D57" i="13"/>
  <c r="D36" i="8"/>
  <c r="H227" i="7"/>
  <c r="D56" i="5"/>
  <c r="G63" i="25"/>
  <c r="D59" i="27"/>
  <c r="D43" i="27"/>
  <c r="G41" i="14"/>
  <c r="E106" i="6"/>
  <c r="G25" i="5"/>
  <c r="G41" i="13"/>
  <c r="F45" i="21"/>
  <c r="I46" i="40"/>
  <c r="I111" i="40" s="1"/>
  <c r="E124" i="7" s="1"/>
  <c r="D29" i="22"/>
  <c r="I32" i="22" s="1"/>
  <c r="D45" i="19"/>
  <c r="G163" i="37"/>
  <c r="E131" i="37"/>
  <c r="E138" i="37" s="1"/>
  <c r="Q118" i="37"/>
  <c r="D55" i="31"/>
  <c r="G19" i="28"/>
  <c r="E50" i="18"/>
  <c r="G50" i="18" s="1"/>
  <c r="D41" i="16"/>
  <c r="D30" i="10"/>
  <c r="I28" i="10" s="1"/>
  <c r="F229" i="7"/>
  <c r="H229" i="7" s="1"/>
  <c r="G59" i="26"/>
  <c r="D29" i="23"/>
  <c r="D45" i="22"/>
  <c r="D45" i="21"/>
  <c r="D29" i="21"/>
  <c r="I27" i="21" s="1"/>
  <c r="I31" i="20"/>
  <c r="K20" i="20" s="1"/>
  <c r="G29" i="19"/>
  <c r="P118" i="37"/>
  <c r="D63" i="28"/>
  <c r="I47" i="28" s="1"/>
  <c r="G43" i="27"/>
  <c r="D50" i="18"/>
  <c r="G30" i="12"/>
  <c r="G53" i="9"/>
  <c r="K19" i="33"/>
  <c r="G47" i="36"/>
  <c r="G22" i="36"/>
  <c r="G24" i="34"/>
  <c r="H76" i="33"/>
  <c r="G52" i="36"/>
  <c r="G50" i="36"/>
  <c r="H34" i="7"/>
  <c r="G19" i="36"/>
  <c r="G21" i="36"/>
  <c r="G28" i="17"/>
  <c r="G29" i="17"/>
  <c r="O108" i="37"/>
  <c r="O118" i="37" s="1"/>
  <c r="H21" i="37"/>
  <c r="F15" i="6"/>
  <c r="E19" i="124" s="1"/>
  <c r="G19" i="124" s="1"/>
  <c r="H16" i="6"/>
  <c r="G43" i="26"/>
  <c r="G55" i="31"/>
  <c r="G41" i="16"/>
  <c r="D54" i="8"/>
  <c r="D63" i="29"/>
  <c r="H104" i="58"/>
  <c r="F23" i="57" s="1"/>
  <c r="G18" i="3"/>
  <c r="D15" i="3"/>
  <c r="C15" i="3"/>
  <c r="D8" i="3"/>
  <c r="F43" i="5" l="1"/>
  <c r="I43" i="5" s="1"/>
  <c r="F48" i="124"/>
  <c r="I48" i="124" s="1"/>
  <c r="G38" i="129"/>
  <c r="G43" i="134"/>
  <c r="I44" i="124"/>
  <c r="I8" i="2"/>
  <c r="G44" i="124"/>
  <c r="G63" i="124"/>
  <c r="E62" i="124"/>
  <c r="E59" i="124" s="1"/>
  <c r="G58" i="129"/>
  <c r="E57" i="129"/>
  <c r="E54" i="129" s="1"/>
  <c r="G63" i="136"/>
  <c r="E62" i="136"/>
  <c r="G63" i="134"/>
  <c r="E62" i="134"/>
  <c r="G75" i="124"/>
  <c r="I17" i="3"/>
  <c r="E119" i="131"/>
  <c r="E138" i="131" s="1"/>
  <c r="E145" i="131" s="1"/>
  <c r="F60" i="135"/>
  <c r="K60" i="124" s="1"/>
  <c r="K55" i="5"/>
  <c r="I60" i="124"/>
  <c r="G70" i="128"/>
  <c r="E68" i="128"/>
  <c r="G68" i="128" s="1"/>
  <c r="G70" i="130"/>
  <c r="E68" i="130"/>
  <c r="G68" i="130" s="1"/>
  <c r="G75" i="134"/>
  <c r="E73" i="134"/>
  <c r="G73" i="134" s="1"/>
  <c r="D50" i="134"/>
  <c r="D46" i="134" s="1"/>
  <c r="D50" i="136"/>
  <c r="D46" i="136" s="1"/>
  <c r="D50" i="135"/>
  <c r="D46" i="135" s="1"/>
  <c r="D45" i="129"/>
  <c r="D41" i="129" s="1"/>
  <c r="D45" i="130"/>
  <c r="D41" i="130" s="1"/>
  <c r="D45" i="128"/>
  <c r="D41" i="128" s="1"/>
  <c r="D50" i="124"/>
  <c r="D46" i="124" s="1"/>
  <c r="F38" i="5"/>
  <c r="F38" i="128"/>
  <c r="F43" i="124"/>
  <c r="G38" i="130"/>
  <c r="G43" i="135"/>
  <c r="G58" i="128"/>
  <c r="E57" i="128"/>
  <c r="G58" i="130"/>
  <c r="E57" i="130"/>
  <c r="G63" i="135"/>
  <c r="E62" i="135"/>
  <c r="E59" i="135" s="1"/>
  <c r="F75" i="135"/>
  <c r="K70" i="5"/>
  <c r="I70" i="5" s="1"/>
  <c r="F68" i="129"/>
  <c r="I55" i="5"/>
  <c r="G70" i="129"/>
  <c r="E68" i="129"/>
  <c r="E73" i="136"/>
  <c r="G73" i="136" s="1"/>
  <c r="G75" i="136"/>
  <c r="F61" i="135"/>
  <c r="G56" i="129"/>
  <c r="K56" i="5"/>
  <c r="I56" i="5" s="1"/>
  <c r="G61" i="124"/>
  <c r="D55" i="124"/>
  <c r="D41" i="124" s="1"/>
  <c r="D55" i="135"/>
  <c r="D41" i="135" s="1"/>
  <c r="D55" i="136"/>
  <c r="D41" i="136" s="1"/>
  <c r="D55" i="134"/>
  <c r="D41" i="134" s="1"/>
  <c r="D50" i="129"/>
  <c r="D36" i="129" s="1"/>
  <c r="D50" i="130"/>
  <c r="D36" i="130" s="1"/>
  <c r="D50" i="128"/>
  <c r="D36" i="128" s="1"/>
  <c r="D70" i="134"/>
  <c r="D67" i="134" s="1"/>
  <c r="D70" i="136"/>
  <c r="D67" i="136" s="1"/>
  <c r="D70" i="135"/>
  <c r="D67" i="135" s="1"/>
  <c r="D65" i="130"/>
  <c r="D62" i="130" s="1"/>
  <c r="D65" i="129"/>
  <c r="D62" i="129" s="1"/>
  <c r="D65" i="128"/>
  <c r="D62" i="128" s="1"/>
  <c r="D70" i="124"/>
  <c r="D67" i="124" s="1"/>
  <c r="E27" i="131"/>
  <c r="I16" i="124"/>
  <c r="D7" i="5"/>
  <c r="E16" i="124"/>
  <c r="E7" i="124" s="1"/>
  <c r="E6" i="2"/>
  <c r="E16" i="2" s="1"/>
  <c r="E27" i="2" s="1"/>
  <c r="F7" i="124"/>
  <c r="D43" i="8"/>
  <c r="D61" i="8"/>
  <c r="F74" i="124"/>
  <c r="I74" i="124" s="1"/>
  <c r="F69" i="5"/>
  <c r="G39" i="5"/>
  <c r="E68" i="5"/>
  <c r="G70" i="5"/>
  <c r="E96" i="6"/>
  <c r="E100" i="6" s="1"/>
  <c r="D21" i="114"/>
  <c r="D21" i="113"/>
  <c r="H198" i="37"/>
  <c r="D59" i="112"/>
  <c r="D45" i="114"/>
  <c r="D46" i="114"/>
  <c r="D10" i="112"/>
  <c r="D8" i="112" s="1"/>
  <c r="D21" i="112"/>
  <c r="G42" i="31"/>
  <c r="G8" i="2"/>
  <c r="E121" i="7"/>
  <c r="D22" i="114"/>
  <c r="D19" i="114" s="1"/>
  <c r="D22" i="113"/>
  <c r="D19" i="113" s="1"/>
  <c r="D22" i="112"/>
  <c r="G56" i="5"/>
  <c r="C6" i="3"/>
  <c r="G11" i="5"/>
  <c r="D40" i="82"/>
  <c r="D43" i="82"/>
  <c r="D53" i="82" s="1"/>
  <c r="D47" i="17"/>
  <c r="D44" i="36"/>
  <c r="D55" i="36" s="1"/>
  <c r="E19" i="5"/>
  <c r="E159" i="7"/>
  <c r="D19" i="36"/>
  <c r="D41" i="36" s="1"/>
  <c r="D40" i="81"/>
  <c r="D40" i="83"/>
  <c r="G58" i="5"/>
  <c r="D43" i="81"/>
  <c r="D53" i="81" s="1"/>
  <c r="D43" i="83"/>
  <c r="D53" i="83" s="1"/>
  <c r="D46" i="112"/>
  <c r="D58" i="112" s="1"/>
  <c r="D46" i="113"/>
  <c r="D58" i="113" s="1"/>
  <c r="D39" i="17"/>
  <c r="E35" i="7" s="1"/>
  <c r="D38" i="114"/>
  <c r="D39" i="113"/>
  <c r="D39" i="112"/>
  <c r="D43" i="114"/>
  <c r="D55" i="114" s="1"/>
  <c r="E22" i="68"/>
  <c r="H175" i="58"/>
  <c r="G140" i="7"/>
  <c r="I39" i="31"/>
  <c r="G158" i="7"/>
  <c r="H226" i="7"/>
  <c r="D52" i="5"/>
  <c r="I198" i="37"/>
  <c r="D33" i="5"/>
  <c r="F140" i="7"/>
  <c r="G21" i="57"/>
  <c r="G40" i="5"/>
  <c r="E34" i="7"/>
  <c r="G232" i="7"/>
  <c r="G121" i="7"/>
  <c r="H110" i="6"/>
  <c r="H163" i="6"/>
  <c r="D54" i="5"/>
  <c r="G25" i="3"/>
  <c r="D25" i="3"/>
  <c r="I25" i="3"/>
  <c r="H100" i="33"/>
  <c r="G50" i="20"/>
  <c r="C8" i="2"/>
  <c r="H81" i="6"/>
  <c r="E107" i="6"/>
  <c r="E164" i="6" s="1"/>
  <c r="E166" i="6" s="1"/>
  <c r="G26" i="5"/>
  <c r="H8" i="33"/>
  <c r="D17" i="32"/>
  <c r="D31" i="32" s="1"/>
  <c r="J29" i="32" s="1"/>
  <c r="E16" i="5"/>
  <c r="E7" i="5" s="1"/>
  <c r="F156" i="7"/>
  <c r="E65" i="5"/>
  <c r="G8" i="5"/>
  <c r="G41" i="36"/>
  <c r="G10" i="17"/>
  <c r="H41" i="7"/>
  <c r="G45" i="5"/>
  <c r="D65" i="5"/>
  <c r="E156" i="7"/>
  <c r="F159" i="7"/>
  <c r="L104" i="58"/>
  <c r="J175" i="58"/>
  <c r="L175" i="58" s="1"/>
  <c r="L3" i="58"/>
  <c r="I43" i="27"/>
  <c r="D8" i="17"/>
  <c r="G38" i="5"/>
  <c r="G47" i="17"/>
  <c r="H80" i="6"/>
  <c r="H12" i="3"/>
  <c r="H18" i="3"/>
  <c r="D50" i="5"/>
  <c r="E122" i="7"/>
  <c r="E125" i="7" s="1"/>
  <c r="E126" i="7" s="1"/>
  <c r="E136" i="7" s="1"/>
  <c r="G18" i="5"/>
  <c r="D41" i="5"/>
  <c r="G39" i="17"/>
  <c r="G49" i="17"/>
  <c r="F4" i="6"/>
  <c r="H15" i="6"/>
  <c r="G42" i="34"/>
  <c r="G19" i="34"/>
  <c r="G54" i="17"/>
  <c r="E54" i="131" l="1"/>
  <c r="E79" i="131" s="1"/>
  <c r="G57" i="130"/>
  <c r="E54" i="130"/>
  <c r="G54" i="130" s="1"/>
  <c r="G57" i="128"/>
  <c r="E54" i="128"/>
  <c r="G54" i="128" s="1"/>
  <c r="K38" i="5"/>
  <c r="G38" i="128"/>
  <c r="F36" i="128"/>
  <c r="F43" i="136"/>
  <c r="G68" i="129"/>
  <c r="K68" i="5"/>
  <c r="G75" i="135"/>
  <c r="K75" i="124"/>
  <c r="I75" i="124" s="1"/>
  <c r="F73" i="135"/>
  <c r="I7" i="2"/>
  <c r="G43" i="124"/>
  <c r="I38" i="5"/>
  <c r="G62" i="134"/>
  <c r="E59" i="134"/>
  <c r="G59" i="134" s="1"/>
  <c r="E59" i="136"/>
  <c r="G59" i="136" s="1"/>
  <c r="G62" i="136"/>
  <c r="K61" i="124"/>
  <c r="I61" i="124" s="1"/>
  <c r="G61" i="135"/>
  <c r="E57" i="136"/>
  <c r="E57" i="134"/>
  <c r="E57" i="135"/>
  <c r="E52" i="130"/>
  <c r="E52" i="129"/>
  <c r="E52" i="128"/>
  <c r="E57" i="124"/>
  <c r="F52" i="129"/>
  <c r="F57" i="124"/>
  <c r="F73" i="5"/>
  <c r="F37" i="124"/>
  <c r="I37" i="124" s="1"/>
  <c r="I69" i="5"/>
  <c r="F36" i="124"/>
  <c r="I7" i="124"/>
  <c r="G7" i="124"/>
  <c r="G16" i="124"/>
  <c r="F68" i="5"/>
  <c r="F78" i="124"/>
  <c r="I78" i="124" s="1"/>
  <c r="F73" i="124"/>
  <c r="D19" i="112"/>
  <c r="D43" i="112" s="1"/>
  <c r="D40" i="114"/>
  <c r="D43" i="113"/>
  <c r="G9" i="2"/>
  <c r="H9" i="2"/>
  <c r="C13" i="3"/>
  <c r="C16" i="3" s="1"/>
  <c r="C34" i="3" s="1"/>
  <c r="D46" i="17"/>
  <c r="D58" i="17" s="1"/>
  <c r="H8" i="2"/>
  <c r="D62" i="5"/>
  <c r="G12" i="3"/>
  <c r="E52" i="5"/>
  <c r="H158" i="7"/>
  <c r="F52" i="5"/>
  <c r="H7" i="2"/>
  <c r="C9" i="2"/>
  <c r="G7" i="2"/>
  <c r="H140" i="7"/>
  <c r="G159" i="7"/>
  <c r="H159" i="7" s="1"/>
  <c r="G156" i="7"/>
  <c r="D20" i="2"/>
  <c r="E16" i="3"/>
  <c r="D36" i="5"/>
  <c r="H25" i="3"/>
  <c r="D9" i="2"/>
  <c r="D8" i="2"/>
  <c r="H10" i="2"/>
  <c r="H149" i="6"/>
  <c r="H145" i="6"/>
  <c r="D13" i="3"/>
  <c r="D16" i="3" s="1"/>
  <c r="E33" i="7"/>
  <c r="D43" i="17"/>
  <c r="H26" i="33"/>
  <c r="H7" i="33"/>
  <c r="E33" i="5"/>
  <c r="H13" i="3"/>
  <c r="E62" i="5"/>
  <c r="G55" i="36"/>
  <c r="G8" i="17"/>
  <c r="G65" i="5"/>
  <c r="G11" i="2"/>
  <c r="G52" i="17"/>
  <c r="G19" i="5"/>
  <c r="H35" i="7"/>
  <c r="F33" i="7"/>
  <c r="F96" i="6"/>
  <c r="H4" i="6"/>
  <c r="G46" i="17"/>
  <c r="K43" i="124" l="1"/>
  <c r="I43" i="124" s="1"/>
  <c r="G43" i="136"/>
  <c r="F41" i="136"/>
  <c r="G73" i="135"/>
  <c r="K73" i="124"/>
  <c r="I73" i="124" s="1"/>
  <c r="K36" i="5"/>
  <c r="F72" i="128"/>
  <c r="K34" i="128" s="1"/>
  <c r="H156" i="7"/>
  <c r="F57" i="129"/>
  <c r="F62" i="124"/>
  <c r="F57" i="5"/>
  <c r="I6" i="3"/>
  <c r="G57" i="124"/>
  <c r="G57" i="136"/>
  <c r="K52" i="5"/>
  <c r="I52" i="5" s="1"/>
  <c r="G52" i="129"/>
  <c r="F57" i="135"/>
  <c r="G52" i="128"/>
  <c r="G52" i="130"/>
  <c r="G57" i="134"/>
  <c r="E71" i="124"/>
  <c r="E71" i="135"/>
  <c r="E71" i="134"/>
  <c r="E71" i="136"/>
  <c r="E66" i="130"/>
  <c r="E66" i="129"/>
  <c r="E66" i="128"/>
  <c r="D71" i="124"/>
  <c r="D72" i="124" s="1"/>
  <c r="D77" i="124" s="1"/>
  <c r="D71" i="136"/>
  <c r="D72" i="136" s="1"/>
  <c r="D77" i="136" s="1"/>
  <c r="D71" i="135"/>
  <c r="D72" i="135" s="1"/>
  <c r="D77" i="135" s="1"/>
  <c r="D71" i="134"/>
  <c r="D72" i="134" s="1"/>
  <c r="D77" i="134" s="1"/>
  <c r="D66" i="130"/>
  <c r="D67" i="130" s="1"/>
  <c r="D72" i="130" s="1"/>
  <c r="D66" i="129"/>
  <c r="D67" i="129" s="1"/>
  <c r="D72" i="129" s="1"/>
  <c r="D66" i="128"/>
  <c r="D67" i="128" s="1"/>
  <c r="D72" i="128" s="1"/>
  <c r="F38" i="124"/>
  <c r="I73" i="5"/>
  <c r="G68" i="5"/>
  <c r="I68" i="5"/>
  <c r="C34" i="2"/>
  <c r="C43" i="2" s="1"/>
  <c r="C27" i="3"/>
  <c r="G34" i="2" s="1"/>
  <c r="G71" i="124"/>
  <c r="G73" i="124"/>
  <c r="C10" i="2"/>
  <c r="G52" i="5"/>
  <c r="G6" i="2"/>
  <c r="I26" i="2"/>
  <c r="D66" i="5"/>
  <c r="F62" i="5"/>
  <c r="I62" i="5" s="1"/>
  <c r="D26" i="2"/>
  <c r="E27" i="3"/>
  <c r="I34" i="2" s="1"/>
  <c r="E34" i="2"/>
  <c r="E43" i="2" s="1"/>
  <c r="E34" i="3"/>
  <c r="D27" i="3"/>
  <c r="H34" i="2" s="1"/>
  <c r="D34" i="3"/>
  <c r="E66" i="5"/>
  <c r="F232" i="7"/>
  <c r="F121" i="7"/>
  <c r="H121" i="7" s="1"/>
  <c r="D6" i="2"/>
  <c r="D16" i="2" s="1"/>
  <c r="D34" i="2"/>
  <c r="D43" i="2" s="1"/>
  <c r="G43" i="17"/>
  <c r="G13" i="3"/>
  <c r="G16" i="3" s="1"/>
  <c r="C6" i="2"/>
  <c r="G58" i="17"/>
  <c r="H33" i="7"/>
  <c r="H96" i="6"/>
  <c r="F100" i="6"/>
  <c r="G7" i="5"/>
  <c r="G16" i="5"/>
  <c r="K41" i="124" l="1"/>
  <c r="F77" i="136"/>
  <c r="F74" i="128"/>
  <c r="F83" i="128"/>
  <c r="F59" i="124"/>
  <c r="G62" i="124"/>
  <c r="G57" i="135"/>
  <c r="K57" i="124"/>
  <c r="I57" i="124" s="1"/>
  <c r="F54" i="5"/>
  <c r="G54" i="5" s="1"/>
  <c r="G57" i="5"/>
  <c r="F62" i="135"/>
  <c r="K57" i="5"/>
  <c r="I57" i="5" s="1"/>
  <c r="G57" i="129"/>
  <c r="F54" i="129"/>
  <c r="G66" i="129"/>
  <c r="G71" i="136"/>
  <c r="G71" i="135"/>
  <c r="I37" i="2"/>
  <c r="G38" i="124"/>
  <c r="G66" i="128"/>
  <c r="G66" i="130"/>
  <c r="G71" i="134"/>
  <c r="H6" i="3"/>
  <c r="G37" i="2"/>
  <c r="H37" i="2"/>
  <c r="D27" i="2"/>
  <c r="G27" i="3"/>
  <c r="G48" i="2" s="1"/>
  <c r="C48" i="2"/>
  <c r="C58" i="2" s="1"/>
  <c r="D33" i="2"/>
  <c r="E33" i="2"/>
  <c r="E40" i="2" s="1"/>
  <c r="G28" i="3"/>
  <c r="C28" i="3"/>
  <c r="C16" i="2"/>
  <c r="G10" i="2"/>
  <c r="G16" i="2" s="1"/>
  <c r="G33" i="5"/>
  <c r="F107" i="6"/>
  <c r="H100" i="6"/>
  <c r="G66" i="5"/>
  <c r="F79" i="136" l="1"/>
  <c r="F88" i="136"/>
  <c r="K54" i="5"/>
  <c r="I54" i="5" s="1"/>
  <c r="G54" i="129"/>
  <c r="I8" i="3"/>
  <c r="G59" i="124"/>
  <c r="K62" i="124"/>
  <c r="I62" i="124" s="1"/>
  <c r="F59" i="135"/>
  <c r="G62" i="135"/>
  <c r="C47" i="2"/>
  <c r="C55" i="2" s="1"/>
  <c r="I33" i="2"/>
  <c r="I35" i="2" s="1"/>
  <c r="H33" i="2"/>
  <c r="H35" i="2" s="1"/>
  <c r="H39" i="2" s="1"/>
  <c r="C27" i="2"/>
  <c r="C33" i="2"/>
  <c r="C35" i="2" s="1"/>
  <c r="E35" i="2"/>
  <c r="G28" i="2"/>
  <c r="C28" i="2"/>
  <c r="G27" i="2"/>
  <c r="F164" i="6"/>
  <c r="F166" i="6" s="1"/>
  <c r="H107" i="6"/>
  <c r="K59" i="124" l="1"/>
  <c r="I59" i="124" s="1"/>
  <c r="G59" i="135"/>
  <c r="I39" i="2"/>
  <c r="G33" i="2"/>
  <c r="G35" i="2" s="1"/>
  <c r="C40" i="2"/>
  <c r="C49" i="2"/>
  <c r="G47" i="2"/>
  <c r="G49" i="2" s="1"/>
  <c r="H166" i="6"/>
  <c r="H164" i="6"/>
  <c r="G39" i="2" l="1"/>
  <c r="G51" i="2"/>
  <c r="G53" i="2" s="1"/>
  <c r="D35" i="2"/>
  <c r="D40" i="2"/>
  <c r="J3" i="40" l="1"/>
  <c r="J2" i="40" s="1"/>
  <c r="J111" i="40" l="1"/>
  <c r="G124" i="7" l="1"/>
  <c r="F122" i="7"/>
  <c r="H11" i="2"/>
  <c r="H16" i="2" s="1"/>
  <c r="H28" i="2" s="1"/>
  <c r="F125" i="7"/>
  <c r="F126" i="7" s="1"/>
  <c r="G62" i="5"/>
  <c r="E55" i="136" l="1"/>
  <c r="E41" i="136" s="1"/>
  <c r="G41" i="136" s="1"/>
  <c r="E55" i="135"/>
  <c r="E41" i="135" s="1"/>
  <c r="G41" i="135" s="1"/>
  <c r="E55" i="134"/>
  <c r="E41" i="134" s="1"/>
  <c r="G41" i="134" s="1"/>
  <c r="E50" i="130"/>
  <c r="E36" i="130" s="1"/>
  <c r="G36" i="130" s="1"/>
  <c r="E50" i="129"/>
  <c r="E36" i="129" s="1"/>
  <c r="G36" i="129" s="1"/>
  <c r="E50" i="128"/>
  <c r="E36" i="128" s="1"/>
  <c r="G36" i="128" s="1"/>
  <c r="E55" i="124"/>
  <c r="E41" i="124" s="1"/>
  <c r="E50" i="5"/>
  <c r="E36" i="5" s="1"/>
  <c r="G122" i="7"/>
  <c r="H124" i="7"/>
  <c r="D47" i="2"/>
  <c r="D55" i="2" s="1"/>
  <c r="H27" i="2"/>
  <c r="H47" i="2" s="1"/>
  <c r="D28" i="2"/>
  <c r="F136" i="7"/>
  <c r="F49" i="124" l="1"/>
  <c r="F44" i="5"/>
  <c r="G125" i="7"/>
  <c r="H122" i="7"/>
  <c r="E4" i="57"/>
  <c r="E18" i="57"/>
  <c r="F139" i="7"/>
  <c r="E58" i="136" l="1"/>
  <c r="E58" i="135"/>
  <c r="E56" i="135" s="1"/>
  <c r="E72" i="135" s="1"/>
  <c r="E58" i="134"/>
  <c r="E53" i="130"/>
  <c r="E53" i="129"/>
  <c r="E51" i="129" s="1"/>
  <c r="E67" i="129" s="1"/>
  <c r="E53" i="128"/>
  <c r="E58" i="124"/>
  <c r="E56" i="124" s="1"/>
  <c r="E72" i="124" s="1"/>
  <c r="F46" i="124"/>
  <c r="I46" i="124" s="1"/>
  <c r="I49" i="124"/>
  <c r="F41" i="5"/>
  <c r="I41" i="5" s="1"/>
  <c r="I44" i="5"/>
  <c r="F36" i="5"/>
  <c r="I36" i="5" s="1"/>
  <c r="I10" i="2"/>
  <c r="I16" i="2" s="1"/>
  <c r="I28" i="2" s="1"/>
  <c r="G46" i="124"/>
  <c r="F41" i="124"/>
  <c r="G126" i="7"/>
  <c r="H125" i="7"/>
  <c r="E53" i="5"/>
  <c r="F155" i="7"/>
  <c r="F160" i="7" s="1"/>
  <c r="F169" i="7" s="1"/>
  <c r="F231" i="7" s="1"/>
  <c r="F233" i="7" s="1"/>
  <c r="G41" i="5" l="1"/>
  <c r="E72" i="129"/>
  <c r="E83" i="129" s="1"/>
  <c r="G67" i="129"/>
  <c r="G58" i="134"/>
  <c r="E56" i="134"/>
  <c r="G58" i="136"/>
  <c r="E56" i="136"/>
  <c r="G53" i="128"/>
  <c r="E51" i="128"/>
  <c r="G53" i="130"/>
  <c r="E51" i="130"/>
  <c r="G72" i="135"/>
  <c r="E77" i="135"/>
  <c r="E88" i="135" s="1"/>
  <c r="G72" i="124"/>
  <c r="E77" i="124"/>
  <c r="E88" i="124" s="1"/>
  <c r="E47" i="2"/>
  <c r="E55" i="2" s="1"/>
  <c r="I41" i="124"/>
  <c r="E85" i="131"/>
  <c r="I27" i="2"/>
  <c r="I47" i="2" s="1"/>
  <c r="E28" i="2"/>
  <c r="G41" i="124"/>
  <c r="G36" i="5"/>
  <c r="G136" i="7"/>
  <c r="H126" i="7"/>
  <c r="E51" i="5"/>
  <c r="E67" i="5" s="1"/>
  <c r="E72" i="5" s="1"/>
  <c r="E83" i="5" s="1"/>
  <c r="G51" i="130" l="1"/>
  <c r="E67" i="130"/>
  <c r="G51" i="128"/>
  <c r="E67" i="128"/>
  <c r="G56" i="136"/>
  <c r="E72" i="136"/>
  <c r="G56" i="134"/>
  <c r="E72" i="134"/>
  <c r="H136" i="7"/>
  <c r="H7" i="3"/>
  <c r="E77" i="134" l="1"/>
  <c r="G72" i="134"/>
  <c r="G72" i="136"/>
  <c r="E77" i="136"/>
  <c r="E72" i="128"/>
  <c r="G67" i="128"/>
  <c r="G67" i="130"/>
  <c r="E72" i="130"/>
  <c r="H16" i="3"/>
  <c r="H28" i="3" s="1"/>
  <c r="H51" i="2"/>
  <c r="E83" i="130" l="1"/>
  <c r="G72" i="130"/>
  <c r="G77" i="136"/>
  <c r="E88" i="136"/>
  <c r="G72" i="128"/>
  <c r="E83" i="128"/>
  <c r="G77" i="134"/>
  <c r="E88" i="134"/>
  <c r="D28" i="3"/>
  <c r="H27" i="3"/>
  <c r="H48" i="2" s="1"/>
  <c r="H49" i="2" s="1"/>
  <c r="D48" i="2"/>
  <c r="D58" i="2" s="1"/>
  <c r="D60" i="2" s="1"/>
  <c r="H18" i="57"/>
  <c r="G139" i="7" l="1"/>
  <c r="D53" i="5"/>
  <c r="F21" i="57"/>
  <c r="H53" i="2"/>
  <c r="D49" i="2"/>
  <c r="E155" i="7"/>
  <c r="E160" i="7" s="1"/>
  <c r="E169" i="7" s="1"/>
  <c r="E231" i="7" s="1"/>
  <c r="E233" i="7" s="1"/>
  <c r="L6" i="57"/>
  <c r="L4" i="57"/>
  <c r="F53" i="129" l="1"/>
  <c r="G169" i="7"/>
  <c r="G231" i="7" s="1"/>
  <c r="G155" i="7"/>
  <c r="F58" i="124"/>
  <c r="D51" i="5"/>
  <c r="D67" i="5" s="1"/>
  <c r="D72" i="5" s="1"/>
  <c r="L18" i="57"/>
  <c r="G53" i="129" l="1"/>
  <c r="K53" i="5"/>
  <c r="F58" i="135"/>
  <c r="F51" i="129"/>
  <c r="I7" i="3"/>
  <c r="I16" i="3" s="1"/>
  <c r="G58" i="124"/>
  <c r="F56" i="124"/>
  <c r="F53" i="5"/>
  <c r="H139" i="7"/>
  <c r="K58" i="124" l="1"/>
  <c r="I58" i="124" s="1"/>
  <c r="G58" i="135"/>
  <c r="F56" i="135"/>
  <c r="G56" i="124"/>
  <c r="E101" i="131"/>
  <c r="E118" i="131" s="1"/>
  <c r="F77" i="124"/>
  <c r="K51" i="5"/>
  <c r="G51" i="129"/>
  <c r="F72" i="129"/>
  <c r="J33" i="129" s="1"/>
  <c r="I53" i="5"/>
  <c r="F51" i="5"/>
  <c r="F72" i="5" s="1"/>
  <c r="H155" i="7"/>
  <c r="G53" i="5"/>
  <c r="F79" i="124" l="1"/>
  <c r="G77" i="124"/>
  <c r="F88" i="124"/>
  <c r="F74" i="129"/>
  <c r="K74" i="5" s="1"/>
  <c r="K72" i="5"/>
  <c r="I72" i="5" s="1"/>
  <c r="F83" i="129"/>
  <c r="G72" i="129"/>
  <c r="I51" i="5"/>
  <c r="E140" i="131"/>
  <c r="E144" i="131"/>
  <c r="K56" i="124"/>
  <c r="I56" i="124" s="1"/>
  <c r="G56" i="135"/>
  <c r="F77" i="135"/>
  <c r="F74" i="5"/>
  <c r="I74" i="5" s="1"/>
  <c r="F83" i="5"/>
  <c r="H160" i="7"/>
  <c r="G51" i="5"/>
  <c r="I51" i="2" l="1"/>
  <c r="K77" i="124"/>
  <c r="I77" i="124" s="1"/>
  <c r="F88" i="135"/>
  <c r="F79" i="135"/>
  <c r="K79" i="124" s="1"/>
  <c r="I79" i="124" s="1"/>
  <c r="G77" i="135"/>
  <c r="L6" i="3"/>
  <c r="G67" i="5"/>
  <c r="H169" i="7"/>
  <c r="E48" i="2" l="1"/>
  <c r="E58" i="2" s="1"/>
  <c r="E60" i="2" s="1"/>
  <c r="I27" i="3"/>
  <c r="E28" i="3"/>
  <c r="I28" i="3"/>
  <c r="G72" i="5"/>
  <c r="H231" i="7"/>
  <c r="G233" i="7"/>
  <c r="H233" i="7" s="1"/>
  <c r="I48" i="2" l="1"/>
  <c r="I49" i="2" s="1"/>
  <c r="E49" i="2"/>
  <c r="I53" i="2" l="1"/>
  <c r="G18" i="57"/>
  <c r="G4" i="57"/>
  <c r="G39" i="87"/>
  <c r="G42" i="87"/>
  <c r="I39" i="87" l="1"/>
  <c r="G19" i="9"/>
  <c r="F44" i="9"/>
  <c r="I40" i="9" s="1"/>
  <c r="G44" i="9" l="1"/>
  <c r="F32" i="134"/>
  <c r="I32" i="124" s="1"/>
  <c r="F38" i="134" l="1"/>
  <c r="K38" i="124" s="1"/>
  <c r="F36" i="134"/>
  <c r="K36" i="124" l="1"/>
  <c r="I36" i="124" s="1"/>
  <c r="G38" i="134"/>
  <c r="I38" i="124"/>
  <c r="F36" i="101"/>
  <c r="F41" i="101"/>
  <c r="G41" i="101" s="1"/>
  <c r="I39" i="101" l="1"/>
</calcChain>
</file>

<file path=xl/sharedStrings.xml><?xml version="1.0" encoding="utf-8"?>
<sst xmlns="http://schemas.openxmlformats.org/spreadsheetml/2006/main" count="10496" uniqueCount="1884">
  <si>
    <t>Sorszám</t>
  </si>
  <si>
    <t>%</t>
  </si>
  <si>
    <t>1.</t>
  </si>
  <si>
    <t>2.</t>
  </si>
  <si>
    <t>2.1.</t>
  </si>
  <si>
    <t>Helyi adók</t>
  </si>
  <si>
    <t>2.2.</t>
  </si>
  <si>
    <t>2.3.</t>
  </si>
  <si>
    <t>2.4.</t>
  </si>
  <si>
    <t>2.5.</t>
  </si>
  <si>
    <t>2.6.</t>
  </si>
  <si>
    <t>2.7.</t>
  </si>
  <si>
    <t>3.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</si>
  <si>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</si>
  <si>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</si>
  <si>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</si>
  <si>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</si>
  <si>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</si>
  <si>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</si>
  <si>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</si>
  <si>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</si>
  <si>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</si>
  <si>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</si>
  <si>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</si>
  <si>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</si>
  <si>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Működési célú hozam- és kamatbevételek</t>
  </si>
  <si>
    <t>Egyéb működési célú bevétel</t>
  </si>
  <si>
    <t>5.</t>
  </si>
  <si>
    <t>5.1.</t>
  </si>
  <si>
    <t>5.2.</t>
  </si>
  <si>
    <t>Központosított előirányzatok</t>
  </si>
  <si>
    <t>Egyéb támogatás</t>
  </si>
  <si>
    <t>6.</t>
  </si>
  <si>
    <t>6.1.</t>
  </si>
  <si>
    <t>Társadalombiztosítás pénzügyi alapjából átvett pénzeszköz</t>
  </si>
  <si>
    <t>6.2.</t>
  </si>
  <si>
    <t>7.1.</t>
  </si>
  <si>
    <t>7.2.</t>
  </si>
  <si>
    <t>8.</t>
  </si>
  <si>
    <t>8.1.</t>
  </si>
  <si>
    <t>8.2.</t>
  </si>
  <si>
    <t>10.</t>
  </si>
  <si>
    <t>11.</t>
  </si>
  <si>
    <t>11.1.</t>
  </si>
  <si>
    <t>11.2.</t>
  </si>
  <si>
    <t>12.</t>
  </si>
  <si>
    <t>13.</t>
  </si>
  <si>
    <t>14.</t>
  </si>
  <si>
    <t>K I A D Á S O K</t>
  </si>
  <si>
    <r>
      <t xml:space="preserve">I. Működési költségvetés kiadásai </t>
    </r>
    <r>
      <rPr>
        <sz val="11"/>
        <rFont val="Times New Roman CE"/>
        <family val="1"/>
        <charset val="238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</si>
  <si>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</si>
  <si>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</si>
  <si>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</si>
  <si>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</si>
  <si>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</si>
  <si>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</si>
  <si>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</si>
  <si>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</si>
  <si>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</si>
  <si>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</si>
  <si>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1.5.1</t>
  </si>
  <si>
    <t>1.5.2</t>
  </si>
  <si>
    <t>Kamatkiadások</t>
  </si>
  <si>
    <t>Beruházási kiadások</t>
  </si>
  <si>
    <t>Felújítások</t>
  </si>
  <si>
    <t>EU-s forrásból finanszírozott támogatással megvalósuló programok, projektek kiadásai</t>
  </si>
  <si>
    <t>Egyéb felhalmozási célú kiadások</t>
  </si>
  <si>
    <t>Pénzügyi befektetések kiadásai</t>
  </si>
  <si>
    <t>4.</t>
  </si>
  <si>
    <t>4.1</t>
  </si>
  <si>
    <t>Általános tartalék</t>
  </si>
  <si>
    <t>4.2</t>
  </si>
  <si>
    <t>Működési céltartalék</t>
  </si>
  <si>
    <t>4.3</t>
  </si>
  <si>
    <t>7.</t>
  </si>
  <si>
    <t>1.1.1.</t>
  </si>
  <si>
    <t>1.1.2.</t>
  </si>
  <si>
    <t>1.2.1.</t>
  </si>
  <si>
    <t>1.2.2.</t>
  </si>
  <si>
    <t>Ezer Ft</t>
  </si>
  <si>
    <t>Sor-
szám</t>
  </si>
  <si>
    <t>Bevételek</t>
  </si>
  <si>
    <t>Kiadások</t>
  </si>
  <si>
    <t>Megnevezés</t>
  </si>
  <si>
    <t>Személyi juttatások</t>
  </si>
  <si>
    <t>Közhatalmi bevételek</t>
  </si>
  <si>
    <t>Dologi kiadások</t>
  </si>
  <si>
    <t>Tartalékok</t>
  </si>
  <si>
    <t>9.</t>
  </si>
  <si>
    <t>Költségvetési bevételek összesen:</t>
  </si>
  <si>
    <t>Költségvetési kiadások összesen: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</si>
  <si>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</si>
  <si>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</si>
  <si>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</si>
  <si>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</si>
  <si>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</si>
  <si>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</si>
  <si>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</si>
  <si>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</si>
  <si>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Egyéb </t>
  </si>
  <si>
    <t>23.</t>
  </si>
  <si>
    <t>24.</t>
  </si>
  <si>
    <t>Finanszírozási célú kiadások (14+…+24)</t>
  </si>
  <si>
    <t>25.</t>
  </si>
  <si>
    <t>KIADÁSOK ÖSSZESEN (13+25)</t>
  </si>
  <si>
    <t>26.</t>
  </si>
  <si>
    <t>Költségvetési hiány:</t>
  </si>
  <si>
    <t>Költségvetési többlet:</t>
  </si>
  <si>
    <t>működési bevételek összesen:</t>
  </si>
  <si>
    <t>felhalmozási bevétlek összesen:</t>
  </si>
  <si>
    <t>összes bevétel:</t>
  </si>
  <si>
    <t>2. sz melléklet szerint bevétel össz.</t>
  </si>
  <si>
    <t>különbözet:</t>
  </si>
  <si>
    <t>működési kiadások összesen:</t>
  </si>
  <si>
    <t>felhalmozási kiadások összesen:</t>
  </si>
  <si>
    <t>összes kiadás:</t>
  </si>
  <si>
    <t>2. sz melléklet szerint kiadás össz.</t>
  </si>
  <si>
    <t xml:space="preserve"> Ezer Ft</t>
  </si>
  <si>
    <t>Előző évi felh. célú pénzm. igénybev.</t>
  </si>
  <si>
    <t>KIADÁSOK ÖSSZESEN (11+22)</t>
  </si>
  <si>
    <t>megnevezése</t>
  </si>
  <si>
    <t>Vecsés Város Önkormányzat és Intézményei</t>
  </si>
  <si>
    <t>Feladat megnevezése</t>
  </si>
  <si>
    <t>összesen</t>
  </si>
  <si>
    <t>Száma</t>
  </si>
  <si>
    <t>Előirányzat-csoport, kiemelt előirányzat megnevezése</t>
  </si>
  <si>
    <t>Előirányzat</t>
  </si>
  <si>
    <t>Módosított Előirányzat</t>
  </si>
  <si>
    <t>Teljesítés</t>
  </si>
  <si>
    <t>Kezességvállalással kapcsolatos megtérülés</t>
  </si>
  <si>
    <t>VII. Önkormányzati támogatás</t>
  </si>
  <si>
    <t>Társadalom,szoc.pol.és egyéb juttatások tám.</t>
  </si>
  <si>
    <t>1.6</t>
  </si>
  <si>
    <t>4.1.</t>
  </si>
  <si>
    <t>7.1</t>
  </si>
  <si>
    <t>Felhalmozási célú pénzügyi műveletek kiadásai</t>
  </si>
  <si>
    <t>Éves engedélyezett létszám előirányzat (fő)</t>
  </si>
  <si>
    <t>Közfoglalkoztatottak létszáma (fő)</t>
  </si>
  <si>
    <t>Vecsés Város Önkormányzat</t>
  </si>
  <si>
    <t>1.5.3</t>
  </si>
  <si>
    <r>
      <t xml:space="preserve">II. Felhalmozási költségvetés kiadásai </t>
    </r>
    <r>
      <rPr>
        <sz val="8"/>
        <rFont val="Times New Roman CE"/>
        <family val="1"/>
        <charset val="238"/>
      </rPr>
      <t>(2.1+…+2.7)</t>
    </r>
  </si>
  <si>
    <t>2.1</t>
  </si>
  <si>
    <t>beruházási kiadások</t>
  </si>
  <si>
    <t>2.2</t>
  </si>
  <si>
    <t>2.3</t>
  </si>
  <si>
    <t>2.4</t>
  </si>
  <si>
    <t>2.5</t>
  </si>
  <si>
    <t>2.6</t>
  </si>
  <si>
    <t>2.7</t>
  </si>
  <si>
    <t>4.3.</t>
  </si>
  <si>
    <t>sorszám</t>
  </si>
  <si>
    <t>Önkormányzat bevételei</t>
  </si>
  <si>
    <t>I. MŰKÖDÉSI BEVÉTELEK</t>
  </si>
  <si>
    <t>1.1.1.1.</t>
  </si>
  <si>
    <t>1.1.2.1.</t>
  </si>
  <si>
    <t>Egyéb bevétel</t>
  </si>
  <si>
    <t>1.1.2.2.1</t>
  </si>
  <si>
    <t xml:space="preserve"> - Piaci helypénz,közterület fogl.</t>
  </si>
  <si>
    <t>1.1.2.2.2</t>
  </si>
  <si>
    <t xml:space="preserve"> - Nagybani piac bevétel</t>
  </si>
  <si>
    <t>1.1.2.2.3</t>
  </si>
  <si>
    <t xml:space="preserve"> - Búcsú</t>
  </si>
  <si>
    <t>1.1.2.2.4</t>
  </si>
  <si>
    <t xml:space="preserve"> - Bírság</t>
  </si>
  <si>
    <t>1.1.2.2.5</t>
  </si>
  <si>
    <t xml:space="preserve"> - Egyéb</t>
  </si>
  <si>
    <t>1.1.3.</t>
  </si>
  <si>
    <t>1.1.3.1.1.</t>
  </si>
  <si>
    <t>Helyiségek tartós bérbeadás</t>
  </si>
  <si>
    <t>1.1.3.1.1.1</t>
  </si>
  <si>
    <t xml:space="preserve"> - Önkormányzati</t>
  </si>
  <si>
    <t>1.1.3.1.1.2</t>
  </si>
  <si>
    <t xml:space="preserve"> - Egyéb építmény bérbeadása (GYÁVÍV Kft)</t>
  </si>
  <si>
    <t>1.1.2.1.1.3</t>
  </si>
  <si>
    <t xml:space="preserve"> - Károly u. 2.</t>
  </si>
  <si>
    <t>1.1.4.</t>
  </si>
  <si>
    <t>Kamatbevételek</t>
  </si>
  <si>
    <t>1.1.5.</t>
  </si>
  <si>
    <t>1.1.6</t>
  </si>
  <si>
    <t>1.1.7</t>
  </si>
  <si>
    <t>1.2.1.1.</t>
  </si>
  <si>
    <t xml:space="preserve"> -Építményadó</t>
  </si>
  <si>
    <t xml:space="preserve"> -Iparűzési adó</t>
  </si>
  <si>
    <t>1.2.2.2</t>
  </si>
  <si>
    <t>1.2.2.3</t>
  </si>
  <si>
    <t>1.2.3.</t>
  </si>
  <si>
    <t>1.3.1</t>
  </si>
  <si>
    <t>1.3.2</t>
  </si>
  <si>
    <t>Normatíva, kötött felhasználású támogatás</t>
  </si>
  <si>
    <t>1.3.2.1</t>
  </si>
  <si>
    <t xml:space="preserve"> - Osztályfőnöki pótlék</t>
  </si>
  <si>
    <t>1.3.2.2</t>
  </si>
  <si>
    <t xml:space="preserve"> - Ped.szakvizsga és továbbképzés</t>
  </si>
  <si>
    <t>1.3.2.3</t>
  </si>
  <si>
    <t xml:space="preserve"> - Szociális továbbképzés és szakvizsga támogatás</t>
  </si>
  <si>
    <t>1.3.2.4</t>
  </si>
  <si>
    <t xml:space="preserve"> - Óvodai és iskolai kedvezményes étkeztetés</t>
  </si>
  <si>
    <t>1.3.2.5</t>
  </si>
  <si>
    <t xml:space="preserve"> - Ingyen tankönyv</t>
  </si>
  <si>
    <t>1.3.2.6</t>
  </si>
  <si>
    <t xml:space="preserve"> - Szakmai informatikai fejlesztés</t>
  </si>
  <si>
    <t>1.3.2.7</t>
  </si>
  <si>
    <t xml:space="preserve"> - Bölcsödei ingyenes étkeztetés</t>
  </si>
  <si>
    <t>1.3.2.8</t>
  </si>
  <si>
    <t xml:space="preserve"> - Egyes jövedelem ptl.támogatások</t>
  </si>
  <si>
    <t>Központosított előírányzatok</t>
  </si>
  <si>
    <t>1.3.3.1</t>
  </si>
  <si>
    <t xml:space="preserve"> - Nemzetiségi Önkormányzatok központi előirányzata</t>
  </si>
  <si>
    <t>1.3.3.1.1</t>
  </si>
  <si>
    <t xml:space="preserve">       -ebből Német Nemzetiségi Önkormányzat</t>
  </si>
  <si>
    <t>1.3.3.1.2.</t>
  </si>
  <si>
    <t xml:space="preserve">       -ebből Cigány Nemzetiségi Önkormányzat</t>
  </si>
  <si>
    <t>2.1.3.</t>
  </si>
  <si>
    <t>Kiegészítő támogatás helyi önkormányzatok bérkiadásához</t>
  </si>
  <si>
    <t>2.1.4</t>
  </si>
  <si>
    <t>Könyvtár érdekeltségnövelő pály.</t>
  </si>
  <si>
    <t>2.1.5</t>
  </si>
  <si>
    <t>Közműfejlesztési támogatás</t>
  </si>
  <si>
    <t>1.3.3.2</t>
  </si>
  <si>
    <t>1.3.5.</t>
  </si>
  <si>
    <t>Önkormányzatok egyéb költségvetési támogatása</t>
  </si>
  <si>
    <t>1.3.5.1</t>
  </si>
  <si>
    <t>Céljellegű, decentrelizált támogatás</t>
  </si>
  <si>
    <t>1.3.5.1.1.</t>
  </si>
  <si>
    <t>KMR támogatás /Széchenyi út burkolatfelújítás/</t>
  </si>
  <si>
    <t>1.4.1.</t>
  </si>
  <si>
    <t>Társönkormányzatoktól átvett pénzeszközök</t>
  </si>
  <si>
    <t>1.5.</t>
  </si>
  <si>
    <t>1.6.</t>
  </si>
  <si>
    <t>Pénzforgalmi műk.célú ktgvet.-i bevételek összesen:</t>
  </si>
  <si>
    <t>1.7.</t>
  </si>
  <si>
    <t xml:space="preserve">Működési célú előző évi pénzmaradvány </t>
  </si>
  <si>
    <t>1.8.</t>
  </si>
  <si>
    <t>Pénzforgalom nélküli működési bevételek összesen:</t>
  </si>
  <si>
    <t>1.9.</t>
  </si>
  <si>
    <t>Pénzforgalom nélküli működési v</t>
  </si>
  <si>
    <t>Költségvetési működési bevételek:</t>
  </si>
  <si>
    <t>Finanszírozási működési bevételek összesen:</t>
  </si>
  <si>
    <t>I. MŰKÖDÉSI BEVÉTELEK ÖSSZESEN:</t>
  </si>
  <si>
    <t>2.1.1.</t>
  </si>
  <si>
    <t>3.2.3.1.2.</t>
  </si>
  <si>
    <t xml:space="preserve"> - Laktanya</t>
  </si>
  <si>
    <t>3.2.3.1.3.</t>
  </si>
  <si>
    <t>3.2.3.1.4.</t>
  </si>
  <si>
    <t>3.2.4.</t>
  </si>
  <si>
    <t>3.2.4.1</t>
  </si>
  <si>
    <t>3.2.4.2.</t>
  </si>
  <si>
    <t xml:space="preserve"> - Asztalbérlet</t>
  </si>
  <si>
    <t>3.2.4.3.</t>
  </si>
  <si>
    <t>3.2.4.4.</t>
  </si>
  <si>
    <t>3.2.4.5</t>
  </si>
  <si>
    <t>3.2.4.6</t>
  </si>
  <si>
    <t xml:space="preserve"> - közterület </t>
  </si>
  <si>
    <t>3.2.6.</t>
  </si>
  <si>
    <t>egyéb</t>
  </si>
  <si>
    <t>2.1.2.</t>
  </si>
  <si>
    <t>Pénzügyi befektetések bevételei</t>
  </si>
  <si>
    <t>2.1.2.1</t>
  </si>
  <si>
    <t>Osztalék és hozam bevétel</t>
  </si>
  <si>
    <t>2.2.1.</t>
  </si>
  <si>
    <t>2.3.1.</t>
  </si>
  <si>
    <t>2.3.1.1.</t>
  </si>
  <si>
    <t xml:space="preserve">Közműfejlesztésre lakosságtól </t>
  </si>
  <si>
    <t>2.3.1.2</t>
  </si>
  <si>
    <t>2.4.1.</t>
  </si>
  <si>
    <t>Pénzforgalom nélküli bevételek</t>
  </si>
  <si>
    <t>2.8.</t>
  </si>
  <si>
    <t>II. FELHALMOZÁSI BEVÉTELEK ÖSSZESEN:</t>
  </si>
  <si>
    <t>Intézményi támogatásból származó halmozódás kiszűrése:</t>
  </si>
  <si>
    <t>ÖNKORMÁNYZAT BEVÉTELEI ÖSSZESEN:</t>
  </si>
  <si>
    <t>Önkormányzat Kiadásai</t>
  </si>
  <si>
    <t>I. MŰKÖDÉSI KIADÁSOK</t>
  </si>
  <si>
    <t>Személyi juttatás</t>
  </si>
  <si>
    <t>Munkaadót terhelő járulékok</t>
  </si>
  <si>
    <t>Létszámfejlesztés 3 fő</t>
  </si>
  <si>
    <t>1.2.3.1</t>
  </si>
  <si>
    <t>Dologi és egyéb folyó kiadások</t>
  </si>
  <si>
    <t>1.3.1.</t>
  </si>
  <si>
    <t>Önkormányzat</t>
  </si>
  <si>
    <t>1.3.1.1</t>
  </si>
  <si>
    <t>1.3.1.2</t>
  </si>
  <si>
    <t>Rehabilitációs hozzájárulás</t>
  </si>
  <si>
    <t>1.3.1.3</t>
  </si>
  <si>
    <t>Folyószámlahitel kamatai</t>
  </si>
  <si>
    <t>1.3.1.4</t>
  </si>
  <si>
    <t>1.3.2.</t>
  </si>
  <si>
    <t>Önkormányzat által folyósított ellátások posta ktg.</t>
  </si>
  <si>
    <t>Postaköltség</t>
  </si>
  <si>
    <t>1.4.2.</t>
  </si>
  <si>
    <t>1.4.4</t>
  </si>
  <si>
    <t>1.6.1.</t>
  </si>
  <si>
    <t>Alapítványok</t>
  </si>
  <si>
    <t>1.6.1.1</t>
  </si>
  <si>
    <t>Vecsés Közrendjéért és  Közbiztonságáért Közalapítvány</t>
  </si>
  <si>
    <t>1.6.1.2.</t>
  </si>
  <si>
    <t>Vecsési Fúvószenekari Alapítvány</t>
  </si>
  <si>
    <t>1.6.1.3.</t>
  </si>
  <si>
    <t>Vecsés Tájékoztatásáért Közalapítvány</t>
  </si>
  <si>
    <t>1.6.1.3.1</t>
  </si>
  <si>
    <t xml:space="preserve"> - ebből Tavaszi fesztivál</t>
  </si>
  <si>
    <t>1.6.1.4.</t>
  </si>
  <si>
    <t>Vecsés Egészségügyéért Közhasznú Közlapítvány</t>
  </si>
  <si>
    <t>1.6.1.5.</t>
  </si>
  <si>
    <t>Vecsés Sportjáért Alapítvány</t>
  </si>
  <si>
    <t>1.6.1.6.</t>
  </si>
  <si>
    <t xml:space="preserve">Polgárőr Egyesület </t>
  </si>
  <si>
    <t>1.6.1.7.</t>
  </si>
  <si>
    <t>Vecsési Tájházért Alapítvány (13/2010. (I.26.)</t>
  </si>
  <si>
    <t>1.6.1.8</t>
  </si>
  <si>
    <t xml:space="preserve">Vecsés Közművelődéséért Alapítvány </t>
  </si>
  <si>
    <t>1.6.1.8.1</t>
  </si>
  <si>
    <t>Káposztafeszt</t>
  </si>
  <si>
    <t>1.6.1.8.2</t>
  </si>
  <si>
    <t>1.6.2.</t>
  </si>
  <si>
    <t>Társadalmi célú szervezetek</t>
  </si>
  <si>
    <t>1.6.2.1.</t>
  </si>
  <si>
    <t>Sport támogatás</t>
  </si>
  <si>
    <t>1.6.2.1.1</t>
  </si>
  <si>
    <t>1.6.2.1.2</t>
  </si>
  <si>
    <t xml:space="preserve"> - VSE támogatás</t>
  </si>
  <si>
    <t>1.6.2.1.3</t>
  </si>
  <si>
    <t xml:space="preserve"> - Egyéb támogatás</t>
  </si>
  <si>
    <t>1.6.2.2</t>
  </si>
  <si>
    <t>Német Nemzetiségi ÖK</t>
  </si>
  <si>
    <t>1.6.2.3</t>
  </si>
  <si>
    <t>1.6.2.4</t>
  </si>
  <si>
    <t>WTV Kép és Hangstúdíó</t>
  </si>
  <si>
    <t>1.6.2.5</t>
  </si>
  <si>
    <t>Vecsési Sportakadémia Kft.</t>
  </si>
  <si>
    <t>1.6.2.5.1</t>
  </si>
  <si>
    <t xml:space="preserve"> - ebből "Bozsik program"</t>
  </si>
  <si>
    <t>1.6.2.6</t>
  </si>
  <si>
    <t>Bálint Á.Iroda.és Értékőrző Al.</t>
  </si>
  <si>
    <t>1.6.2.7</t>
  </si>
  <si>
    <t>1.6.2.8</t>
  </si>
  <si>
    <t>Róder Imre Cserkészcsapat</t>
  </si>
  <si>
    <t>1.6.2.9</t>
  </si>
  <si>
    <t>1.6.2.10</t>
  </si>
  <si>
    <t>Honismereti Kör</t>
  </si>
  <si>
    <t>1.6.2.11</t>
  </si>
  <si>
    <t>Vecsési Hagyományörző Zeneegyesület</t>
  </si>
  <si>
    <t>1.6.2.12</t>
  </si>
  <si>
    <t>II.sz.Nyugdíjas Klub</t>
  </si>
  <si>
    <t>1.6.2.13</t>
  </si>
  <si>
    <t>III.sz.Nyugdíjas Klub</t>
  </si>
  <si>
    <t>1.6.2.14</t>
  </si>
  <si>
    <t>Horváth Ákos Emléktorna</t>
  </si>
  <si>
    <t>1.6.2.15</t>
  </si>
  <si>
    <t>Concerto Harmonica</t>
  </si>
  <si>
    <t>1.6.2.16</t>
  </si>
  <si>
    <t>Rosmarein Táncegyesület</t>
  </si>
  <si>
    <t>1.6.2.17</t>
  </si>
  <si>
    <t>Labdarózsa Énekkar</t>
  </si>
  <si>
    <t>1.6.2.18</t>
  </si>
  <si>
    <t>Vecsési Borbarátok Egyesület</t>
  </si>
  <si>
    <t>1.6.2.19</t>
  </si>
  <si>
    <t>Lumpen-Klumpen Tánccsoport</t>
  </si>
  <si>
    <t>1.6.2.20</t>
  </si>
  <si>
    <t>Balla P. Népdalkör. H.E.</t>
  </si>
  <si>
    <t>1.6.2.21</t>
  </si>
  <si>
    <t>1.6.2.22</t>
  </si>
  <si>
    <t>Mozgássérültek Bp-i E.Vecsési Szervezet</t>
  </si>
  <si>
    <t>1.6.2.23</t>
  </si>
  <si>
    <t>Megmaradunk 3000 Al.</t>
  </si>
  <si>
    <t>1.6.2.24</t>
  </si>
  <si>
    <t>Orbán Balázs Erdélyi Kör</t>
  </si>
  <si>
    <t>1.6.2.25</t>
  </si>
  <si>
    <t>Rohan Hobbilovas Sport Egyesület</t>
  </si>
  <si>
    <t>1.6.2.26</t>
  </si>
  <si>
    <t>1.6.2.27</t>
  </si>
  <si>
    <t>VSE Kézilabda Szakosztály</t>
  </si>
  <si>
    <t>1.6.2.28</t>
  </si>
  <si>
    <t>1.6.2.29</t>
  </si>
  <si>
    <t>1.6.3.</t>
  </si>
  <si>
    <t>Egyéb támogatások</t>
  </si>
  <si>
    <t>1.6.3.1.</t>
  </si>
  <si>
    <t>Egyház</t>
  </si>
  <si>
    <t>1.6.3.2.</t>
  </si>
  <si>
    <t>Ösztöndíjak</t>
  </si>
  <si>
    <t>1.6.3.2.1</t>
  </si>
  <si>
    <t>1.6.3.2.2</t>
  </si>
  <si>
    <t xml:space="preserve"> - Önkormányzati ösztöndíj pályázat</t>
  </si>
  <si>
    <t>1.6.3.3</t>
  </si>
  <si>
    <t>1.6.3.4</t>
  </si>
  <si>
    <t>Kisegítő Iskola</t>
  </si>
  <si>
    <t>1.6.3.5</t>
  </si>
  <si>
    <t xml:space="preserve">Református Óvoda </t>
  </si>
  <si>
    <t>1.6.3.6.</t>
  </si>
  <si>
    <t>Vállalkozás fejlesztés támogatása</t>
  </si>
  <si>
    <t>1.6.3.7</t>
  </si>
  <si>
    <t>Rendőőrs Alkalmazott Bére</t>
  </si>
  <si>
    <t>1.6.3.8</t>
  </si>
  <si>
    <t>1.6.3.9</t>
  </si>
  <si>
    <t>1.6.3.10</t>
  </si>
  <si>
    <t>Háztartásoknak átadott /otthonteremtési, Megel.gytartás/</t>
  </si>
  <si>
    <t>1.6.3.11</t>
  </si>
  <si>
    <t>Evangélikus Egyházközség</t>
  </si>
  <si>
    <t>1.6.3.12</t>
  </si>
  <si>
    <t>Ó-Plébánia</t>
  </si>
  <si>
    <t>1.6.3.13</t>
  </si>
  <si>
    <t>Vecsési Református Egyházközség</t>
  </si>
  <si>
    <t>1.6.3.15</t>
  </si>
  <si>
    <t>Irgalmas Jézus Róm.Kat. Plébánia</t>
  </si>
  <si>
    <t>1.6.4.</t>
  </si>
  <si>
    <t xml:space="preserve">Menetrendszerű közúti, helyi személyszállítás </t>
  </si>
  <si>
    <t>1.7.1</t>
  </si>
  <si>
    <t>Átmeneti segély</t>
  </si>
  <si>
    <t>1.7.2</t>
  </si>
  <si>
    <t>Temetési segély</t>
  </si>
  <si>
    <t>1.7.3</t>
  </si>
  <si>
    <t>Rendkívüli gyermekvédelmi támogatás (tankönyv, tábor )</t>
  </si>
  <si>
    <t>1.7.4</t>
  </si>
  <si>
    <t>Köztemetés</t>
  </si>
  <si>
    <t>Pénzforgalmi műk. célú ktgvet.-i kiadások összesen:</t>
  </si>
  <si>
    <t>1.8.1.</t>
  </si>
  <si>
    <t>Általános Tartalék</t>
  </si>
  <si>
    <t>1.8.2.</t>
  </si>
  <si>
    <t>Pénzforgalom nélküli működési kiadások összesen:</t>
  </si>
  <si>
    <t>Költségvetési működési kiadások:</t>
  </si>
  <si>
    <t>Értékpapírok vásárlása</t>
  </si>
  <si>
    <t>1.10.</t>
  </si>
  <si>
    <t>Működési célú hitel visszafizetése</t>
  </si>
  <si>
    <t>1.10.1</t>
  </si>
  <si>
    <t>FORD hitel törlesztés</t>
  </si>
  <si>
    <t>1.10.2</t>
  </si>
  <si>
    <t>Fénymásolók lízingdíja</t>
  </si>
  <si>
    <t>1.10.2.1</t>
  </si>
  <si>
    <t xml:space="preserve"> -I.</t>
  </si>
  <si>
    <t>1.10.3</t>
  </si>
  <si>
    <t>Társulati hitel törlesztés</t>
  </si>
  <si>
    <t>1.10.4.</t>
  </si>
  <si>
    <t>Munkabérhitel törlesztés</t>
  </si>
  <si>
    <t>1.10.5.</t>
  </si>
  <si>
    <t>Folyószámlahitel törlesztése</t>
  </si>
  <si>
    <t>Finanszírozási működési kiadások összesen:</t>
  </si>
  <si>
    <t>I. MŰKÖDÉSI KIADÁSOK ÖSSZESEN:</t>
  </si>
  <si>
    <t>Felújítási kiadások</t>
  </si>
  <si>
    <t>Részvények,részesedések vásárlása</t>
  </si>
  <si>
    <t>2.5.1</t>
  </si>
  <si>
    <t xml:space="preserve">Egyéb pe. átadás háztartásoknak </t>
  </si>
  <si>
    <t>Kölcsönnyújtás</t>
  </si>
  <si>
    <t>Óvadék</t>
  </si>
  <si>
    <t>Fejlesztési célhitel kamatai</t>
  </si>
  <si>
    <t xml:space="preserve">300 milliós értékpapír kibocsátás után fizetendő kamat               </t>
  </si>
  <si>
    <t xml:space="preserve">700 millió értékpapír kibocsátás után fizetendő kamat                   </t>
  </si>
  <si>
    <t>Sportpálya korszerűsítés MFB hitel kamata</t>
  </si>
  <si>
    <t>200 milliós MFB hitel kamata (2010. évben felvett)</t>
  </si>
  <si>
    <t>500 milliós MFB hitel kamata (2011. évben felvett)</t>
  </si>
  <si>
    <t>Pénzforgalmi felhalm.célú költségvetési kiadások:</t>
  </si>
  <si>
    <t>2.9.</t>
  </si>
  <si>
    <t>Fejlesztési céltartalék</t>
  </si>
  <si>
    <t>Pénzforgalom nélküli felhalmozási kiadások összesen:</t>
  </si>
  <si>
    <t>2.10.</t>
  </si>
  <si>
    <t>Felhalmozási célú hitel visszafizetése</t>
  </si>
  <si>
    <t>2.10.1.</t>
  </si>
  <si>
    <t>Fejlesztési célhitel törlesztés</t>
  </si>
  <si>
    <t>Sportpálya korszerűsítés MFB hitel</t>
  </si>
  <si>
    <t xml:space="preserve">Kötvény törlesztés 700 millió </t>
  </si>
  <si>
    <t>200 milliós MFB fejlesztési hitel</t>
  </si>
  <si>
    <t>500 milliós MFB fejlesztési hitel</t>
  </si>
  <si>
    <t>Finanszírozási felhalmozási kiadások összesen:</t>
  </si>
  <si>
    <t>II. FELHALMOZÁSI KIADÁSOK ÖSSZESEN:</t>
  </si>
  <si>
    <t>2.1.1</t>
  </si>
  <si>
    <t>2.1.2</t>
  </si>
  <si>
    <t>2.1.3</t>
  </si>
  <si>
    <t>Létszám fő</t>
  </si>
  <si>
    <t>Települési hulladék kezelés, köztisztasági tevékenység (902113)</t>
  </si>
  <si>
    <t>2.3.2.</t>
  </si>
  <si>
    <t>2.3.3.</t>
  </si>
  <si>
    <t>2.3.1</t>
  </si>
  <si>
    <t>2.3.2</t>
  </si>
  <si>
    <t>2.3.3</t>
  </si>
  <si>
    <t>Sportlétesítmények ( Sportpálya)</t>
  </si>
  <si>
    <t>2.4.1</t>
  </si>
  <si>
    <t>2.4.2</t>
  </si>
  <si>
    <t>2.4.3</t>
  </si>
  <si>
    <t>2.6.1</t>
  </si>
  <si>
    <t>2.7.1</t>
  </si>
  <si>
    <t>Szennyvízelvezetés és kezelés ( 901116)</t>
  </si>
  <si>
    <t>2.5.1.</t>
  </si>
  <si>
    <t>Kisegítő mezőgazdasági tevékenység ( 014034)</t>
  </si>
  <si>
    <t>2.6.1.</t>
  </si>
  <si>
    <t>2.6.2</t>
  </si>
  <si>
    <t>2.6.3.</t>
  </si>
  <si>
    <t>2.6.4.</t>
  </si>
  <si>
    <t>2.8.1</t>
  </si>
  <si>
    <t>2.9.1</t>
  </si>
  <si>
    <t>2.9.2</t>
  </si>
  <si>
    <t>2.9.3</t>
  </si>
  <si>
    <t>Utak építése ( 422110 )</t>
  </si>
  <si>
    <t xml:space="preserve">Menetrendszerű közúti, helyi személyszállítás (602147) </t>
  </si>
  <si>
    <t>KIADÁS ÖSSZESEN</t>
  </si>
  <si>
    <t>Intézményi felhalmozásból származó halmozódás kiszűrése:</t>
  </si>
  <si>
    <t>ÖNKORMÁNYZAT KIADÁSAI ÖSSZESEN:</t>
  </si>
  <si>
    <t>4. sz. melléklet</t>
  </si>
  <si>
    <t>Költségvetési szerv megnevezése</t>
  </si>
  <si>
    <t>Polgármesteri Hivatal</t>
  </si>
  <si>
    <t>I. Intézményi működési bevételek (1.1.+…+1.8.)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</si>
  <si>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</si>
  <si>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</si>
  <si>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</si>
  <si>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</si>
  <si>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Működési célú pénzeszközátvétel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</si>
  <si>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</si>
  <si>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</si>
  <si>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</si>
  <si>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</si>
  <si>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</si>
  <si>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</si>
  <si>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VIII. Függő, átfutó, kiegyenlítő bevételek</t>
  </si>
  <si>
    <t>BEVÉTELEK ÖSSZESEN (1+2+3+4+5+6+7)</t>
  </si>
  <si>
    <t>1.5.2.</t>
  </si>
  <si>
    <t>Intézményi beruházási kiadások</t>
  </si>
  <si>
    <t>Egyéb fejlesztési célú kiadások</t>
  </si>
  <si>
    <t>III. Kölcsön</t>
  </si>
  <si>
    <t>IV. Függő,átfutó,kiegyenlítő kiadások</t>
  </si>
  <si>
    <t>KIADÁSOK ÖSSZESEN: (1+2+3)</t>
  </si>
  <si>
    <t>4.1. sz. melléklet</t>
  </si>
  <si>
    <t>Igazgatási feladatok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</si>
  <si>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(2.1+…+2.4)</t>
    </r>
  </si>
  <si>
    <t>4.2. sz. melléklet</t>
  </si>
  <si>
    <t>Szociális gondoskodás</t>
  </si>
  <si>
    <r>
      <t xml:space="preserve">I. Működési költségvetés kiadásai </t>
    </r>
    <r>
      <rPr>
        <sz val="12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</si>
  <si>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2"/>
        <rFont val="Times New Roman CE"/>
        <family val="1"/>
        <charset val="238"/>
      </rPr>
      <t>(2.1+…+2.4)</t>
    </r>
  </si>
  <si>
    <t>4.3. sz. melléklet</t>
  </si>
  <si>
    <t>Jogalkotás</t>
  </si>
  <si>
    <t>4.4 sz. melléklet</t>
  </si>
  <si>
    <t>Művelődés, sport</t>
  </si>
  <si>
    <t>4.5. sz. melléklet</t>
  </si>
  <si>
    <t>Vagyongazdálkodás</t>
  </si>
  <si>
    <t>4.6. sz. melléklet</t>
  </si>
  <si>
    <t>Adó</t>
  </si>
  <si>
    <t>Közterület rendjének fenntartása</t>
  </si>
  <si>
    <t>5. sz. melléklet</t>
  </si>
  <si>
    <t>Vecsés Város Önkormányzat Intézményei összesen</t>
  </si>
  <si>
    <t>ebből: nemzetiségi</t>
  </si>
  <si>
    <t>2.1.4.</t>
  </si>
  <si>
    <t>2.2.1</t>
  </si>
  <si>
    <t>3.2</t>
  </si>
  <si>
    <t>IV. Kölcsön</t>
  </si>
  <si>
    <t>V. Pénzmaradvány, vállalk. tev. maradványa (5.1.+5.2.)</t>
  </si>
  <si>
    <t>VI. Önkormányzati támogatás</t>
  </si>
  <si>
    <t>VII. Függő, átfutó, kiegyenlítő bevételek</t>
  </si>
  <si>
    <t>BEVÉTELEK ÖSSZESEN (1+2+3+4+5+6)</t>
  </si>
  <si>
    <t>Ebből nemzetiség</t>
  </si>
  <si>
    <t>5.1. sz. melléklet</t>
  </si>
  <si>
    <t>Petőfi Sándor Általános Iskola és Gimnázium</t>
  </si>
  <si>
    <t>Általános iskolai oktatás</t>
  </si>
  <si>
    <t>5.2. sz. melléklet</t>
  </si>
  <si>
    <t>Középfokú oktatás</t>
  </si>
  <si>
    <t>Teljesités</t>
  </si>
  <si>
    <t>5.3. sz. melléklet</t>
  </si>
  <si>
    <t>Grassalkovich Antal Német Nemzetiségi és Kétnyelvű Álatlános Iskola</t>
  </si>
  <si>
    <t>5.4. sz. melléklet</t>
  </si>
  <si>
    <t>Gróf Andrássy Gyula Általános Iskola</t>
  </si>
  <si>
    <t>5.5. sz. melléklet</t>
  </si>
  <si>
    <t>Halmi Telepi Általános Iskola</t>
  </si>
  <si>
    <t>5.6. sz. melléklet</t>
  </si>
  <si>
    <t>Vecsési Zeneiskola</t>
  </si>
  <si>
    <t>Művészeti oktatás</t>
  </si>
  <si>
    <t>Falusi Nemzetiségi Óvoda</t>
  </si>
  <si>
    <t>5.8. sz. melléklet</t>
  </si>
  <si>
    <t>Mosolyország Óvoda</t>
  </si>
  <si>
    <t>Bálint Ágnes Óvoda</t>
  </si>
  <si>
    <t>Tündérkert Óvoda</t>
  </si>
  <si>
    <t>Oktatási Intézmények Központi Konyhája</t>
  </si>
  <si>
    <t>Semmelweis Bőlcsöde</t>
  </si>
  <si>
    <t>Közművelődés</t>
  </si>
  <si>
    <t>Róder Imre Városi Könyvtár</t>
  </si>
  <si>
    <t>Könyvtári szolgáltatás</t>
  </si>
  <si>
    <t>Családsegítő és Gyermekjóléti Szolgálat</t>
  </si>
  <si>
    <t>Család-, és gyermekvédelem</t>
  </si>
  <si>
    <t>Önállóan működő intézmények neve</t>
  </si>
  <si>
    <t>XV.</t>
  </si>
  <si>
    <t>Családsegítő- és Gyermekjóléti Szolgálat</t>
  </si>
  <si>
    <t>Családsegítő Szolgálat</t>
  </si>
  <si>
    <t>Intézmények működési bevételei</t>
  </si>
  <si>
    <t>Felhalmozási és tőke jellegű bevételek /Tárgyi eszk. ért./</t>
  </si>
  <si>
    <t>Költségvetési támogatás</t>
  </si>
  <si>
    <t xml:space="preserve">      - Működési támogatás</t>
  </si>
  <si>
    <t>1.3.1.1.</t>
  </si>
  <si>
    <t xml:space="preserve"> Állami normatíva      </t>
  </si>
  <si>
    <t>1.3.1.1.1.</t>
  </si>
  <si>
    <t>Vecsés</t>
  </si>
  <si>
    <t>1.3.1.1.2.</t>
  </si>
  <si>
    <t xml:space="preserve">Ecser </t>
  </si>
  <si>
    <t>1.3.1.1.3.</t>
  </si>
  <si>
    <t>Gyömrő</t>
  </si>
  <si>
    <t>1.3.1.1.4.</t>
  </si>
  <si>
    <t>Maglód</t>
  </si>
  <si>
    <t>1.3.1.2.</t>
  </si>
  <si>
    <t>Kiegészítő normatíva</t>
  </si>
  <si>
    <t>1.3.1.2.1.</t>
  </si>
  <si>
    <t>1.3.1.2.2.</t>
  </si>
  <si>
    <t>1.3.1.2.3.</t>
  </si>
  <si>
    <t>1.3.1.2.4.</t>
  </si>
  <si>
    <t>1.3.1.3.</t>
  </si>
  <si>
    <t>Önkormányzati támogatás</t>
  </si>
  <si>
    <t>1.3.1.3.1.</t>
  </si>
  <si>
    <t>Bevételek összesen:</t>
  </si>
  <si>
    <t>2.2.2.</t>
  </si>
  <si>
    <t>2.2.3.</t>
  </si>
  <si>
    <t>2.2.4.</t>
  </si>
  <si>
    <t>2.3.4.</t>
  </si>
  <si>
    <t>Társönkormányzatoknak átadott pénzeszközök</t>
  </si>
  <si>
    <t>2.4.2.</t>
  </si>
  <si>
    <t>2.4.3.</t>
  </si>
  <si>
    <t>Felújítás</t>
  </si>
  <si>
    <t>Beruházás</t>
  </si>
  <si>
    <t>Egyéb kiadás</t>
  </si>
  <si>
    <t>Kiadások összesen:</t>
  </si>
  <si>
    <t>Létszámkeret  fő</t>
  </si>
  <si>
    <t>Gyermekjóléti Szolgálat</t>
  </si>
  <si>
    <t>Felhalmozási támogatás</t>
  </si>
  <si>
    <t>1.4.3.</t>
  </si>
  <si>
    <t>Gondozási Központ</t>
  </si>
  <si>
    <t>Idősek ellátása</t>
  </si>
  <si>
    <t>1.1.2</t>
  </si>
  <si>
    <t>1.1.3</t>
  </si>
  <si>
    <t>1.1.4</t>
  </si>
  <si>
    <t>1.1.5</t>
  </si>
  <si>
    <t>1.4</t>
  </si>
  <si>
    <t>Házi segítségnyújtás</t>
  </si>
  <si>
    <t>Vecsési Egészségügyi Szolgálat</t>
  </si>
  <si>
    <t>Egészségügyi szolgáltatás</t>
  </si>
  <si>
    <t>2007.évi eredeti előirányzat</t>
  </si>
  <si>
    <t>2008.évi eredeti előirányzat</t>
  </si>
  <si>
    <t>2008.09.30. módosított előirányzat</t>
  </si>
  <si>
    <t>2009. évi tervezett előirányzat</t>
  </si>
  <si>
    <t>I.</t>
  </si>
  <si>
    <t>Végleges pe.átvétel Áh.kivülről /Non-profit szervtől/</t>
  </si>
  <si>
    <t xml:space="preserve">            Önkormányzati támogatás</t>
  </si>
  <si>
    <t xml:space="preserve">       - Felhalmozási támogatás</t>
  </si>
  <si>
    <t>Egyéb finanszirozási bevétel</t>
  </si>
  <si>
    <t>Egyéb finanszirozási kiadás</t>
  </si>
  <si>
    <t>1.1.1</t>
  </si>
  <si>
    <t>Egészségügyi szolgálat összesítő</t>
  </si>
  <si>
    <t>eredeti</t>
  </si>
  <si>
    <t>2009. eredeti</t>
  </si>
  <si>
    <t>2010.eredeti EI</t>
  </si>
  <si>
    <t xml:space="preserve">2011. eredeti EI </t>
  </si>
  <si>
    <t>2011.mód.EI</t>
  </si>
  <si>
    <t>Tárgyi eszk.értékesítés</t>
  </si>
  <si>
    <t xml:space="preserve">            Támogatás értékű bevételek OEP</t>
  </si>
  <si>
    <t>Háziorvosi alapellátás 862101</t>
  </si>
  <si>
    <t>Társönkormányzatnak átadott pénzeszköz</t>
  </si>
  <si>
    <t>LÉTSZÁM   fő</t>
  </si>
  <si>
    <t>Vecsési Egészségügyi Szolgálat                                             bevétel összesen</t>
  </si>
  <si>
    <t>Vecsési Egészségügyi Szolgálat                                             kiadás összesen</t>
  </si>
  <si>
    <t>Létszámkeret (fő) összesen:</t>
  </si>
  <si>
    <t>Teljes költség</t>
  </si>
  <si>
    <t>Kivitelezés kezdési és befejezési éve</t>
  </si>
  <si>
    <t>6=(2-4-5)</t>
  </si>
  <si>
    <t>VÁROSI FELÚJÍTÁSOK</t>
  </si>
  <si>
    <t>1.1</t>
  </si>
  <si>
    <t>1.2</t>
  </si>
  <si>
    <t>1.3</t>
  </si>
  <si>
    <t>1.7</t>
  </si>
  <si>
    <t>1.8</t>
  </si>
  <si>
    <t>1.9</t>
  </si>
  <si>
    <t>1.10</t>
  </si>
  <si>
    <t>1.11</t>
  </si>
  <si>
    <t>1.12</t>
  </si>
  <si>
    <t>1.13</t>
  </si>
  <si>
    <t>ÖSSZESEN:</t>
  </si>
  <si>
    <t>Felújítás  megnevezése</t>
  </si>
  <si>
    <t>VÁROSI FEJLESZTÉSEK</t>
  </si>
  <si>
    <t>Egyéb fejlesztések</t>
  </si>
  <si>
    <t>Telepi u.44. Családsegítő és Gyermekjóléti Szolgálat tervezése</t>
  </si>
  <si>
    <t>Térfigyelő rendszer bővítése</t>
  </si>
  <si>
    <t>Hulladékudvar kialakítása</t>
  </si>
  <si>
    <t>1.14</t>
  </si>
  <si>
    <t>1.15</t>
  </si>
  <si>
    <t>Utólagos csatornabekötések</t>
  </si>
  <si>
    <t>1.16</t>
  </si>
  <si>
    <t>1.17</t>
  </si>
  <si>
    <t>1.18</t>
  </si>
  <si>
    <t>1.19</t>
  </si>
  <si>
    <t>Alig utca - Felsőhalom u. szennyvízcsatorna kiépítési költségeinek hozzájárulása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</si>
  <si>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</si>
  <si>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</si>
  <si>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</si>
  <si>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</si>
  <si>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</si>
  <si>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</si>
  <si>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</si>
  <si>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</si>
  <si>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</si>
  <si>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Útépítések, közutak, járdák</t>
  </si>
  <si>
    <t>Úttervezések készítése</t>
  </si>
  <si>
    <t>Hunyadi utca: aszfaltozás</t>
  </si>
  <si>
    <t>2.8</t>
  </si>
  <si>
    <t>Gárdonyi utca aszfaltozási munkái</t>
  </si>
  <si>
    <t>2.9</t>
  </si>
  <si>
    <t>2.10</t>
  </si>
  <si>
    <t>2.11</t>
  </si>
  <si>
    <t>Kispatak lakópark játszótér előtti járda kivitelezése</t>
  </si>
  <si>
    <t>2.12</t>
  </si>
  <si>
    <t>2.13</t>
  </si>
  <si>
    <t>2.14</t>
  </si>
  <si>
    <t>2.15</t>
  </si>
  <si>
    <t>Telepi úti járda viacolor burkolása (Anna utcai kanyartól - Fő útig)</t>
  </si>
  <si>
    <t>2.16</t>
  </si>
  <si>
    <t>Telepi út járda viacolor burkolása (Károly utcától-játszótérig)</t>
  </si>
  <si>
    <t>2.17</t>
  </si>
  <si>
    <t>2.18</t>
  </si>
  <si>
    <t>2.19</t>
  </si>
  <si>
    <t>2.20</t>
  </si>
  <si>
    <t>Járdaépítéshez térkő biztosítása</t>
  </si>
  <si>
    <t>2.21</t>
  </si>
  <si>
    <t>2.22</t>
  </si>
  <si>
    <t>2.23</t>
  </si>
  <si>
    <t>2.24</t>
  </si>
  <si>
    <t>Halmi Téri iskola körüli parkoló (kivitelezés)</t>
  </si>
  <si>
    <t>2.25</t>
  </si>
  <si>
    <t>2.26</t>
  </si>
  <si>
    <t>2.27</t>
  </si>
  <si>
    <t>2.28</t>
  </si>
  <si>
    <t>2.29</t>
  </si>
  <si>
    <t>Csapadékvíz elvezetési munkálatok</t>
  </si>
  <si>
    <t>3.1</t>
  </si>
  <si>
    <t>Lőrinci út: átereszek építése, árok kialakítása</t>
  </si>
  <si>
    <t>3.3</t>
  </si>
  <si>
    <t>P+R parkoló árokburkolás (Lőrinci út)</t>
  </si>
  <si>
    <t>3.4</t>
  </si>
  <si>
    <t>P+R parkoló árokburkolás (belső parkoló)</t>
  </si>
  <si>
    <t>3.5</t>
  </si>
  <si>
    <t>3.6</t>
  </si>
  <si>
    <t>Intézmények, önkormányzati ingatlanok</t>
  </si>
  <si>
    <t>Bálint Ágnes Óvoda engedélyezési, kivitelezési terv</t>
  </si>
  <si>
    <t>Gondozási központ akadálymentesítése 118/2011 (V.24.)</t>
  </si>
  <si>
    <t>4.4</t>
  </si>
  <si>
    <t>4.5</t>
  </si>
  <si>
    <t>4.6</t>
  </si>
  <si>
    <t>INTÉZMÉNYI BERUHÁZÁSOK</t>
  </si>
  <si>
    <t>5.1</t>
  </si>
  <si>
    <t>Polgármesteri  Hivatal tetőfedés csere</t>
  </si>
  <si>
    <t>5.2</t>
  </si>
  <si>
    <t>Polgármesteri  Hivatal külső nyílászáróinak cseréje</t>
  </si>
  <si>
    <t>5.3</t>
  </si>
  <si>
    <t>Polgármesteri Hivatal fűtésrendszer korszerűsítése</t>
  </si>
  <si>
    <t>5.4</t>
  </si>
  <si>
    <t>Polgármesteri Hivatal telefonközpont felújítása</t>
  </si>
  <si>
    <t>5.5</t>
  </si>
  <si>
    <t>5.6</t>
  </si>
  <si>
    <t>Polgármesteri Hivatal udvarának parkosítása</t>
  </si>
  <si>
    <t>5.7</t>
  </si>
  <si>
    <t>Polgármesteri Hivatal külső kerítés felújítás</t>
  </si>
  <si>
    <t>5.8</t>
  </si>
  <si>
    <t>9.1</t>
  </si>
  <si>
    <t>9.2</t>
  </si>
  <si>
    <t>10.1</t>
  </si>
  <si>
    <t>11.1</t>
  </si>
  <si>
    <t>11.2</t>
  </si>
  <si>
    <t>12.1</t>
  </si>
  <si>
    <t>13.1</t>
  </si>
  <si>
    <t>2005.évi eredeti előirányzat</t>
  </si>
  <si>
    <t>2007. évi tervezett előirányzat</t>
  </si>
  <si>
    <t>2008. évi tervezett előirányzat</t>
  </si>
  <si>
    <t>Pályázati céltartalék</t>
  </si>
  <si>
    <t>Pályázatok benyújtásához céltartalék</t>
  </si>
  <si>
    <t>JAM Ház pályázatai:</t>
  </si>
  <si>
    <t xml:space="preserve">     Érdekeltségnövelő pályázat</t>
  </si>
  <si>
    <t>1.1.1.2.</t>
  </si>
  <si>
    <t>TÁMOP pályázatok 1. és 2. kör</t>
  </si>
  <si>
    <t>1.1.1.3.</t>
  </si>
  <si>
    <t xml:space="preserve">     NKA alkotótábor + nomád tábor</t>
  </si>
  <si>
    <t>1.1.1.4.</t>
  </si>
  <si>
    <t xml:space="preserve">     Egyéb pályázatok</t>
  </si>
  <si>
    <t>1.1.6.</t>
  </si>
  <si>
    <t>1.1.7.</t>
  </si>
  <si>
    <t>1.3.3.9.</t>
  </si>
  <si>
    <t xml:space="preserve"> - GYSIM Mobilitas - Alkotótábor</t>
  </si>
  <si>
    <t xml:space="preserve"> - NKA: Alkotütábor</t>
  </si>
  <si>
    <t>- NKA: Szakmai tev., művészeti találkozók támogatása</t>
  </si>
  <si>
    <t xml:space="preserve">- NKA: Szamai előadássorozat </t>
  </si>
  <si>
    <t>-GYISM: Alkotótábor</t>
  </si>
  <si>
    <t>1.1.1.5.</t>
  </si>
  <si>
    <t>- Pest Megye Önk.: Alkotoótábor</t>
  </si>
  <si>
    <t>1.1.1.6.</t>
  </si>
  <si>
    <t>- Érdekeltségnövelő pályázat</t>
  </si>
  <si>
    <t>1.1.1.7.</t>
  </si>
  <si>
    <t>- NKA: Művészetek kisközösségének támogatása</t>
  </si>
  <si>
    <r>
      <t xml:space="preserve">Közterületen elhagyott hulladék begyűjtésére pályázathoz önrész biztosítása </t>
    </r>
    <r>
      <rPr>
        <i/>
        <sz val="8"/>
        <rFont val="Times New Roman"/>
        <family val="1"/>
        <charset val="238"/>
      </rPr>
      <t>(10/2006. Ök. hat.)</t>
    </r>
  </si>
  <si>
    <t>Vállalkozás fejl.pályázati önrész</t>
  </si>
  <si>
    <t xml:space="preserve">Oktatási céltartalék </t>
  </si>
  <si>
    <t>2.2.2</t>
  </si>
  <si>
    <t>2.2.3</t>
  </si>
  <si>
    <t>2.2.4</t>
  </si>
  <si>
    <t>2.2.5</t>
  </si>
  <si>
    <t>Tábori pályázatok</t>
  </si>
  <si>
    <t>Egyéb (néptánc, kult.kiadv., sport, egyéb)</t>
  </si>
  <si>
    <t>Néptánc, színjátszás</t>
  </si>
  <si>
    <t>Sportutánpótlás</t>
  </si>
  <si>
    <t>Reprezentációs anyag</t>
  </si>
  <si>
    <t>Kulturális kiadványok</t>
  </si>
  <si>
    <t>Ünnepségek, rendezvények</t>
  </si>
  <si>
    <t>Nevelési tanácsadó</t>
  </si>
  <si>
    <t>Szakértői díj</t>
  </si>
  <si>
    <t>Tartalék</t>
  </si>
  <si>
    <t>Egyéb céltartalék</t>
  </si>
  <si>
    <t>Családsegítő nyári tábor</t>
  </si>
  <si>
    <t>Oktatási Bizottság kerete</t>
  </si>
  <si>
    <t>Sport Bizottság kerete</t>
  </si>
  <si>
    <t>Iskolák közötti sportvereseny</t>
  </si>
  <si>
    <t>Mezőgazdasági céltartalék</t>
  </si>
  <si>
    <t>3.7</t>
  </si>
  <si>
    <t>Felmentések, végkielégítések egyéb tartalék</t>
  </si>
  <si>
    <t>3.8</t>
  </si>
  <si>
    <t>Közbeszerzési eljárások lefolytatása ( eljárási díjak, dokumentációk, hirdetménydíjak)</t>
  </si>
  <si>
    <t>3.9</t>
  </si>
  <si>
    <t>Rendezetlen ingatlanok kényszerrendbetétele</t>
  </si>
  <si>
    <t>3.11</t>
  </si>
  <si>
    <t>Környezetvédelmi keret</t>
  </si>
  <si>
    <t>Környezetvédelem</t>
  </si>
  <si>
    <t>Parlagfű elleni védekezés</t>
  </si>
  <si>
    <t>Külterületen elszórt hulladékok összegyűjtése</t>
  </si>
  <si>
    <t>3.12</t>
  </si>
  <si>
    <t>3.13</t>
  </si>
  <si>
    <t>Testvérvárosi kapcsolatok</t>
  </si>
  <si>
    <t>3.14</t>
  </si>
  <si>
    <t>Rendezvények támogatása</t>
  </si>
  <si>
    <t>Vers és prózamondó verseny</t>
  </si>
  <si>
    <t>Lóti-Futi futóverseny</t>
  </si>
  <si>
    <t>Június 14. újratelepítési ünnep</t>
  </si>
  <si>
    <t>Augusztus 20.</t>
  </si>
  <si>
    <t>Október 06.</t>
  </si>
  <si>
    <t>Október 23.</t>
  </si>
  <si>
    <t>3.15</t>
  </si>
  <si>
    <t>Művelődési Ház által szervezett rendezvények és egyéb feladatok</t>
  </si>
  <si>
    <t>Alkotótábor</t>
  </si>
  <si>
    <t>Művészeti csoportok támogatása</t>
  </si>
  <si>
    <t>Program előkészítés</t>
  </si>
  <si>
    <t xml:space="preserve">Szerzői jogdíj </t>
  </si>
  <si>
    <t>3.16</t>
  </si>
  <si>
    <t>Városi rendezvények</t>
  </si>
  <si>
    <t>3.17</t>
  </si>
  <si>
    <t>3.18</t>
  </si>
  <si>
    <t>Jubileumi házassági évfordulók</t>
  </si>
  <si>
    <t>3.19</t>
  </si>
  <si>
    <t>Reprezentációs keret</t>
  </si>
  <si>
    <t>90., 95. és 100. évesek ajándékozása</t>
  </si>
  <si>
    <t>3.21</t>
  </si>
  <si>
    <t>3.22</t>
  </si>
  <si>
    <t>Városközpont-fejlesztő Kft felügyelő bizottsági tagok díjazása 182/2009. (VIII.31.)</t>
  </si>
  <si>
    <t>3.23</t>
  </si>
  <si>
    <t>Városközpont-fejlesztő Kft megbízási szerződésének meghosszabbítása a városközpont projektre</t>
  </si>
  <si>
    <t>3.24</t>
  </si>
  <si>
    <t>3.25</t>
  </si>
  <si>
    <t>Életjáradék</t>
  </si>
  <si>
    <t>3.26</t>
  </si>
  <si>
    <t>3.27</t>
  </si>
  <si>
    <t>3.28</t>
  </si>
  <si>
    <t>Elismerő címek, díjak, kitüntetések</t>
  </si>
  <si>
    <t>belső forgalomtechnika</t>
  </si>
  <si>
    <t>Esetenkénti tervezési feladatok</t>
  </si>
  <si>
    <t>Céltartalék összesen</t>
  </si>
  <si>
    <t>2009. évi tervezet</t>
  </si>
  <si>
    <t>Air LED pályázat</t>
  </si>
  <si>
    <t>Vis major keret</t>
  </si>
  <si>
    <t>Városi fejlesztésekre céltartalék</t>
  </si>
  <si>
    <t xml:space="preserve">Vecsés Város Önkormányzat adósságot keletkeztető ügyletekből és kezességvállalásokból fennálló kötelezettségei </t>
  </si>
  <si>
    <t>Sor-szám</t>
  </si>
  <si>
    <t>MEGNEVEZÉS</t>
  </si>
  <si>
    <t>Évek</t>
  </si>
  <si>
    <t>Összesen
(7=3+4+5+6)</t>
  </si>
  <si>
    <t>2013.</t>
  </si>
  <si>
    <t>2014.</t>
  </si>
  <si>
    <t>"Sikeres Magyarországért" ÖKIF hitelprogram (200 millió)</t>
  </si>
  <si>
    <t>"Sikeres Magyarországért" ÖKIF hitelprogram (500 millió)</t>
  </si>
  <si>
    <t>300.000.000.Ft értékű kötvénykibocsátás</t>
  </si>
  <si>
    <t>700.000.000.Ft értékű kötvénykibocsátás</t>
  </si>
  <si>
    <t>Vecsési Futball létesítmények korszerűsítése ÖKIF hitelprogram</t>
  </si>
  <si>
    <t>ÖSSZES KÖTELEZETTSÉG</t>
  </si>
  <si>
    <t>Vecsés Város Önkormányzat saját bevételeinek részletezése az adósságot keletkeztető ügyletből származó tárgyévi fizetési kötelezettség megállapításához</t>
  </si>
  <si>
    <t>ezer Ft</t>
  </si>
  <si>
    <t>Bevételi jogcímek</t>
  </si>
  <si>
    <t>Részvények, részesedések értékesítése</t>
  </si>
  <si>
    <t>Vállalatértékesítésből, privatizációból származó bevételek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</si>
  <si>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</si>
  <si>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</si>
  <si>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</si>
  <si>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</si>
  <si>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JOGCÍM</t>
  </si>
  <si>
    <t>ÖSSZESEN</t>
  </si>
  <si>
    <t xml:space="preserve">Lakott külterülettel kapcsolatos feladatok </t>
  </si>
  <si>
    <t xml:space="preserve">Szociális étkeztetés </t>
  </si>
  <si>
    <t>Gyermekek napközbeni ellátása</t>
  </si>
  <si>
    <t>II.</t>
  </si>
  <si>
    <t>III.</t>
  </si>
  <si>
    <t>IV.</t>
  </si>
  <si>
    <t>Kötelezettség jogcíme</t>
  </si>
  <si>
    <t>Köt. váll.
 éve</t>
  </si>
  <si>
    <t>Összesen</t>
  </si>
  <si>
    <t>9=(4+5+6+7+8)</t>
  </si>
  <si>
    <t>Működési célú hiteltörlesztés (tőke+kamat)</t>
  </si>
  <si>
    <t>Felhalmozási célú hiteltörlesztés (tőke+kamat)</t>
  </si>
  <si>
    <t>300.000.000 Ft értékű kötvénykibocsátás</t>
  </si>
  <si>
    <t>700.000.000 Ft értékű kötvénykibocsátás</t>
  </si>
  <si>
    <t>Beruházás feladatonként</t>
  </si>
  <si>
    <t>Felújítás célonként</t>
  </si>
  <si>
    <t>Összesen (1+3+9+11+13)</t>
  </si>
  <si>
    <t>Vecsés Város Önkormányzata 2010. évben 200.000.000 Ft MFB által refinanszírozott beruházási hitelt vett fel, melynek visszafizetési ütemezését a táblázat 4. sora tartalmazza.</t>
  </si>
  <si>
    <t>A beruházások finanszírozására 2007. évben 300.000.000 Ft értékben kötvényt bocsátott ki az Önkormányzat. Az esedékes fizetési kötelezettség a táblázat 6. során látható.</t>
  </si>
  <si>
    <t>A Képviselő-testület a 230/2007 (XII. 18.) számú határozata alapján 2008. évben 700.000.000 Ft kötvény kibocsátásra kerül sor. A táblázat 7. sora tartalmazza a jelen ismeretek alapján prognosztizált ütemezését.</t>
  </si>
  <si>
    <t>A Képviselő-testület 2008. évben a sportpálya és sportlétesítmények korszerűsítésére 100.000.000 Ft MFB által refinanszírozott hitelt vett fel, melynek visszafizetési ütemezését a táblázat 8. sora mutatja be.</t>
  </si>
  <si>
    <t>ezer forintban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</si>
  <si>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</si>
  <si>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</si>
  <si>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</si>
  <si>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</si>
  <si>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</si>
  <si>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</si>
  <si>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</si>
  <si>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</si>
  <si>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</si>
  <si>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</si>
  <si>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</si>
  <si>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</si>
  <si>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</si>
  <si>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</si>
  <si>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</si>
  <si>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</si>
  <si>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</si>
  <si>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</si>
  <si>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</si>
  <si>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</si>
  <si>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</si>
  <si>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</si>
  <si>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</si>
  <si>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</si>
  <si>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</si>
  <si>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</si>
  <si>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</si>
  <si>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</si>
  <si>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</si>
  <si>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</si>
  <si>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</si>
  <si>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</si>
  <si>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</si>
  <si>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</si>
  <si>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27.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</si>
  <si>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</si>
  <si>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</si>
  <si>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</si>
  <si>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</si>
  <si>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</si>
  <si>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</si>
  <si>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</si>
  <si>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</si>
  <si>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</si>
  <si>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</si>
  <si>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</si>
  <si>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</si>
  <si>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Ellátottak pénzbeli juttatása</t>
  </si>
  <si>
    <t>Egyenleg</t>
  </si>
  <si>
    <t xml:space="preserve"> ezer forintban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</si>
  <si>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</si>
  <si>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</si>
  <si>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</si>
  <si>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</si>
  <si>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</si>
  <si>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</si>
  <si>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"Sikeres Magyarországért" ÖKIF hitelprogram</t>
  </si>
  <si>
    <t>300. mo. Ft kötvény kibocsátás</t>
  </si>
  <si>
    <t>700. mo. Ft kötvény kibocsátás</t>
  </si>
  <si>
    <t xml:space="preserve">2008. </t>
  </si>
  <si>
    <t>Összesen (1+6)</t>
  </si>
  <si>
    <t>Támogatott szervezet neve</t>
  </si>
  <si>
    <t>Támogatás célja</t>
  </si>
  <si>
    <t xml:space="preserve">Támogatás összge 
</t>
  </si>
  <si>
    <t>28.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</si>
  <si>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</si>
  <si>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</si>
  <si>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</si>
  <si>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</si>
  <si>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</si>
  <si>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</si>
  <si>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</si>
  <si>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</si>
  <si>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</si>
  <si>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</si>
  <si>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4.7</t>
  </si>
  <si>
    <t>4.2.</t>
  </si>
  <si>
    <t>KIADÁSOK ÖSSZESEN:</t>
  </si>
  <si>
    <t>Támogatásértékű működési bevételek Egyéb nem önk.</t>
  </si>
  <si>
    <t>Halmozódás kiszűrése</t>
  </si>
  <si>
    <t>7.2</t>
  </si>
  <si>
    <t>Semmelwies Bölcsőde</t>
  </si>
  <si>
    <t>14.1</t>
  </si>
  <si>
    <t>13.2</t>
  </si>
  <si>
    <t>5.9</t>
  </si>
  <si>
    <t>5.10.</t>
  </si>
  <si>
    <t>Vagyongazdálkodás Klíma</t>
  </si>
  <si>
    <t>1.29</t>
  </si>
  <si>
    <t>1.30</t>
  </si>
  <si>
    <t>2.30</t>
  </si>
  <si>
    <t>2.31</t>
  </si>
  <si>
    <t>2.32</t>
  </si>
  <si>
    <t>2.33</t>
  </si>
  <si>
    <t>2.34</t>
  </si>
  <si>
    <t>1.31</t>
  </si>
  <si>
    <t>1.32</t>
  </si>
  <si>
    <t>4.8</t>
  </si>
  <si>
    <t>4.9</t>
  </si>
  <si>
    <t>1.6.2.30</t>
  </si>
  <si>
    <t>1.6.2.31</t>
  </si>
  <si>
    <t>1.6.2.32</t>
  </si>
  <si>
    <t>Kisspista Színház</t>
  </si>
  <si>
    <t>1.6.2.33</t>
  </si>
  <si>
    <t>VSE Őkölvívó Szakosztály</t>
  </si>
  <si>
    <t>1.6.2.34</t>
  </si>
  <si>
    <t>VFC Old Boys csapata</t>
  </si>
  <si>
    <t>1.6.2.35</t>
  </si>
  <si>
    <t>BVSC Nagy. N. Szinkronúszó</t>
  </si>
  <si>
    <t>1.6.2.36</t>
  </si>
  <si>
    <t>Kőbányai SC Sárkány V.Bírkózó</t>
  </si>
  <si>
    <t>1.6.2.37</t>
  </si>
  <si>
    <t>Sandan Karate Közh.SE</t>
  </si>
  <si>
    <t xml:space="preserve">Lakóingatlan lakbér </t>
  </si>
  <si>
    <t>Függő,átfutó,kiegyenlítő kiadások</t>
  </si>
  <si>
    <t>Felhalmozási c.pe.átv.Áh.kivülről</t>
  </si>
  <si>
    <t>2013. évi Eredeti előirányzat</t>
  </si>
  <si>
    <t>2013. évi terv</t>
  </si>
  <si>
    <t>2013. évi Terv</t>
  </si>
  <si>
    <t>Ezer Forint</t>
  </si>
  <si>
    <t>Városközpont átadásáig felmerülő költségek (JAM Ház, Könyvtár költözése…)</t>
  </si>
  <si>
    <t>Mindenki karácsonya</t>
  </si>
  <si>
    <t>Egyéb banki járulékok (tranzakciós illetékkel együtt)</t>
  </si>
  <si>
    <t>Beruházásokhoz kapcsolódó kertészet</t>
  </si>
  <si>
    <t>Energetikai pályázat</t>
  </si>
  <si>
    <t>Iskolák szakmai feladatai</t>
  </si>
  <si>
    <t>2013. évi előirányzat</t>
  </si>
  <si>
    <t>Bérleti és lízing díjbevétel/Tartós bérelti díjak/</t>
  </si>
  <si>
    <t xml:space="preserve"> - Egyéb építmény bérbeadása (DPMV Zrt.)</t>
  </si>
  <si>
    <t>Önkormányzatok működésének támogatása</t>
  </si>
  <si>
    <t>Cigány Nemzetiségi Önkormányzat</t>
  </si>
  <si>
    <t>Gépkocsi vásárlás</t>
  </si>
  <si>
    <t>Hulladék lerakási pótdíj</t>
  </si>
  <si>
    <t>2015.</t>
  </si>
  <si>
    <t>2015. után</t>
  </si>
  <si>
    <t xml:space="preserve"> - VFC támogatás </t>
  </si>
  <si>
    <t xml:space="preserve">Egyéb pe. Átadás DPMV Zrt. </t>
  </si>
  <si>
    <t>Könyv nyomdai költségek 9/2013. (I. 29.) határozat</t>
  </si>
  <si>
    <t>Hulladéklerakók Pály.Önrész</t>
  </si>
  <si>
    <t xml:space="preserve">Tanulmányi verseny </t>
  </si>
  <si>
    <t>1.1.2.1.1.4</t>
  </si>
  <si>
    <t>1.1.2.1.1.5</t>
  </si>
  <si>
    <t xml:space="preserve"> - Grassalkovich Antal Általános Iskola</t>
  </si>
  <si>
    <t xml:space="preserve"> - Halmi Téri Általános Iskola</t>
  </si>
  <si>
    <t xml:space="preserve"> - Gr. Andrássy Gyula Általános Iskola</t>
  </si>
  <si>
    <t xml:space="preserve"> - Városgazdálkodás</t>
  </si>
  <si>
    <t xml:space="preserve"> - Zeneiskola</t>
  </si>
  <si>
    <t>Népdalkör Népzenei tábor</t>
  </si>
  <si>
    <t>Concerto Haramoniaénekkar támogatása</t>
  </si>
  <si>
    <t>Kispista színház támogatása</t>
  </si>
  <si>
    <t>Kiállítások ( 11 alkalom )</t>
  </si>
  <si>
    <t>tanfolyamok, oktatások</t>
  </si>
  <si>
    <t>Színház felnőtteknek</t>
  </si>
  <si>
    <t>Gyermekelőadások kisiskolások, ovisok</t>
  </si>
  <si>
    <t>Könnyűzenei koncertek</t>
  </si>
  <si>
    <t>Népzene, néptánc</t>
  </si>
  <si>
    <t>Tánc előadás</t>
  </si>
  <si>
    <t>Művészeti szakmai vezetők tiszteletdíja</t>
  </si>
  <si>
    <t>Bálint Ágnes Kultúrvár megnyitó ünnepség</t>
  </si>
  <si>
    <t>2.2.6</t>
  </si>
  <si>
    <t>2.2.7</t>
  </si>
  <si>
    <t>2.2.8</t>
  </si>
  <si>
    <t>3.9.1</t>
  </si>
  <si>
    <t>3.9.2</t>
  </si>
  <si>
    <t>3.9.3</t>
  </si>
  <si>
    <t>3.10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</si>
  <si>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</si>
  <si>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</si>
  <si>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</si>
  <si>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</si>
  <si>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</si>
  <si>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</si>
  <si>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</si>
  <si>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</si>
  <si>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</si>
  <si>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</si>
  <si>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</si>
  <si>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</si>
  <si>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</si>
  <si>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</si>
  <si>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</si>
  <si>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</si>
  <si>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</si>
  <si>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</si>
  <si>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</si>
  <si>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</si>
  <si>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</si>
  <si>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</si>
  <si>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</si>
  <si>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3.12.14</t>
  </si>
  <si>
    <t>3.12.15</t>
  </si>
  <si>
    <t>3.12.16</t>
  </si>
  <si>
    <t>3.12.17</t>
  </si>
  <si>
    <t>3.20</t>
  </si>
  <si>
    <t>Út- és járda felújítások</t>
  </si>
  <si>
    <t>Ravatalozó egyéb költségei</t>
  </si>
  <si>
    <r>
      <t xml:space="preserve">Lőrinci út, Széchenyi u. </t>
    </r>
    <r>
      <rPr>
        <sz val="12"/>
        <rFont val="Times New Roman"/>
        <family val="1"/>
        <charset val="238"/>
      </rPr>
      <t>ivóvízellátása és szennyvízcsatorna kivitelezése</t>
    </r>
  </si>
  <si>
    <t>Út- és járdaépítések</t>
  </si>
  <si>
    <t>Virág utca  útépítése</t>
  </si>
  <si>
    <t>Wass A. u. aszfaltozási munkák</t>
  </si>
  <si>
    <t>Görgey u. útépítési munkák</t>
  </si>
  <si>
    <t>Ecseri úti járda építése Temető előtt Mátyás utcáig</t>
  </si>
  <si>
    <t>Telepi úti járda viacolor burkolása (gyógyszertártól - Anna utcáig)</t>
  </si>
  <si>
    <t>Károly utcai járda ( Attila utcától- Álmos utcáig) egy oldalon</t>
  </si>
  <si>
    <t>Eötvös utca egyoldali járda építése Miklós utca Károly utca között</t>
  </si>
  <si>
    <t>Kinizsi utca Dózs Gy u. Bercsényi utca közötti járda felújítása</t>
  </si>
  <si>
    <t>"Vashídhoz" vezető járda építése (Virág u.- Ádám u.)</t>
  </si>
  <si>
    <t>Halmi Téri iskola, óvoda előtt forg. Csillapító küszöb építése</t>
  </si>
  <si>
    <t>Egyéb csapadékvíz elvezetési munkálatok</t>
  </si>
  <si>
    <t>Budai N. A. utca: árokmeder burkolás (Zrínyi u. - Gyáli Patak)</t>
  </si>
  <si>
    <t>Művelődési ház és városi könyvtár épület tanusítványok, egyéb</t>
  </si>
  <si>
    <t>Eötvös utca 17. sz. ingatlan második részének megvétele, egyéb ktg.</t>
  </si>
  <si>
    <t>Küküllői utca 32. sz. ingatlan megvétele</t>
  </si>
  <si>
    <t>Polgármesteri  Hivatal külső hőszigetelése</t>
  </si>
  <si>
    <t>Polgármesteri hivatal beléptető rendszer kialakítása</t>
  </si>
  <si>
    <t>5.1. sz. mellékleet</t>
  </si>
  <si>
    <t>5.3. sz.melléklet</t>
  </si>
  <si>
    <t>5.7. sz. melléklet</t>
  </si>
  <si>
    <t>5.9. sz. melléklet</t>
  </si>
  <si>
    <t>FAJLAGOS MUTATÓ</t>
  </si>
  <si>
    <t>LÉTSZÁM/mennyiség</t>
  </si>
  <si>
    <t>Helyi önkormányzatok működésének általános támogatása</t>
  </si>
  <si>
    <t>Települési önkormányzatok működésének támogatása</t>
  </si>
  <si>
    <t>1.a)</t>
  </si>
  <si>
    <t>1.b)</t>
  </si>
  <si>
    <t>Település üzemeltetéséhez kapcsolódó feladatellátás támogatása</t>
  </si>
  <si>
    <t>1.ba)</t>
  </si>
  <si>
    <t>zöldterület gazdálkodással kapcsolatos feladatok ellátásának támogatása</t>
  </si>
  <si>
    <t>1.bb)</t>
  </si>
  <si>
    <t>Közvilágítás fenntartásának támogatása (2011. évi zárszámadási adat)</t>
  </si>
  <si>
    <t>1.bc)</t>
  </si>
  <si>
    <t>Köztemető fenntartásával kapcsolatos feladatok támogatása</t>
  </si>
  <si>
    <t>1.bd)</t>
  </si>
  <si>
    <t>Közutak fenntartásának támogatása</t>
  </si>
  <si>
    <t>1.c)</t>
  </si>
  <si>
    <t>beszámítás összege</t>
  </si>
  <si>
    <t xml:space="preserve">1.d) </t>
  </si>
  <si>
    <t>Egyéb kötelező önkormányzati feladatok támogatása</t>
  </si>
  <si>
    <t>Óvodapedagógusok, és óv.ped.munkáját segítők bértámogatása</t>
  </si>
  <si>
    <t>Óvodapedagógusok átlakbérének és közterheinek elismert összege</t>
  </si>
  <si>
    <t>Óvodapedagógusok nevelő munkáját közvetlenül segítő átlagbérébek és közterheinek összege</t>
  </si>
  <si>
    <t>Óvodaműködtetési  támogatás</t>
  </si>
  <si>
    <t>Egyes jövedelempótlő támogatások kiegészítése</t>
  </si>
  <si>
    <t>Hozzájárulások a pénzbeli szociális ellátásokhoz</t>
  </si>
  <si>
    <t xml:space="preserve">3. </t>
  </si>
  <si>
    <t>Egyes szociális és gyermekjóléti faladatok támogatása</t>
  </si>
  <si>
    <t>3. ab)</t>
  </si>
  <si>
    <t>Szociális és gyermekjóléti feladatok támogatása</t>
  </si>
  <si>
    <t>3.ae) (1)</t>
  </si>
  <si>
    <t xml:space="preserve">Társulási kiagészítés-családsegítés </t>
  </si>
  <si>
    <t>3.ae) (2)</t>
  </si>
  <si>
    <t>Társulási kiagészítés-gyermekjóléti szolgálat</t>
  </si>
  <si>
    <t>3.c)</t>
  </si>
  <si>
    <t>3.d)</t>
  </si>
  <si>
    <t>3.f) (2)</t>
  </si>
  <si>
    <t>3.j)</t>
  </si>
  <si>
    <t>3.ja)</t>
  </si>
  <si>
    <t>Bölcsődei ellátás</t>
  </si>
  <si>
    <t>Települési Önkormányzatok kulturális faladatainak támogatása</t>
  </si>
  <si>
    <t>Könyvtári, közművelődési és múzeumi feladatok támogatása</t>
  </si>
  <si>
    <t>1.d.)</t>
  </si>
  <si>
    <t>Települési önkormányzatok támogatása a nyilvános könyvtári ellátási és közművelődési fatadatokhoz</t>
  </si>
  <si>
    <t>Általános működési és ágazati feladatok támogatása összesen</t>
  </si>
  <si>
    <t>Üdülőhelyi feladatoktámogatása</t>
  </si>
  <si>
    <t>Működési célú átvett pénzeszköz</t>
  </si>
  <si>
    <t>Felhalmozási célú átvett pénzeszköz</t>
  </si>
  <si>
    <t>Céltartalék</t>
  </si>
  <si>
    <t>Beruházások</t>
  </si>
  <si>
    <t>Egyéb felhalmozási kiadások</t>
  </si>
  <si>
    <t xml:space="preserve"> Ezer forintban</t>
  </si>
  <si>
    <t>Családi Vasárnap ( 6 alkalom)</t>
  </si>
  <si>
    <t>I. Ingatlan bevételi lehetőségek</t>
  </si>
  <si>
    <r>
      <t>(</t>
    </r>
    <r>
      <rPr>
        <i/>
        <sz val="11"/>
        <rFont val="Arial"/>
        <family val="2"/>
        <charset val="238"/>
      </rPr>
      <t>Az eladásra Képviselő-testületi határozat van)</t>
    </r>
  </si>
  <si>
    <t>Hrsz</t>
  </si>
  <si>
    <t>Terület:(nm)</t>
  </si>
  <si>
    <t>Kart-Ring üzletek alatti földterület</t>
  </si>
  <si>
    <t>6025/5-8.</t>
  </si>
  <si>
    <t>518</t>
  </si>
  <si>
    <t>6025/26</t>
  </si>
  <si>
    <t>6 db</t>
  </si>
  <si>
    <t>II. További ingatlan bevételi lehetőségek:</t>
  </si>
  <si>
    <t>- Földterület (szántó)</t>
  </si>
  <si>
    <t>9.189</t>
  </si>
  <si>
    <t>0220/20</t>
  </si>
  <si>
    <t>8.142</t>
  </si>
  <si>
    <t>6115</t>
  </si>
  <si>
    <t>10.395</t>
  </si>
  <si>
    <t>777</t>
  </si>
  <si>
    <t>Földterület ( szántó)</t>
  </si>
  <si>
    <t>0220/19.</t>
  </si>
  <si>
    <t>Földterület a Wass Albert utca mellett (beépítetlen terület)</t>
  </si>
  <si>
    <t>Beépítetlen terület</t>
  </si>
  <si>
    <t>Fő út 112.</t>
  </si>
  <si>
    <t>6133</t>
  </si>
  <si>
    <t>6136</t>
  </si>
  <si>
    <t>6137</t>
  </si>
  <si>
    <t>önkormányzati lakások</t>
  </si>
  <si>
    <t>"Lanyi " terület</t>
  </si>
  <si>
    <t>367/14.</t>
  </si>
  <si>
    <t>87132</t>
  </si>
  <si>
    <t>Önkormányzaton kívüli EU-s projektekhez történő hozzájárulás 2013. évi előir.</t>
  </si>
  <si>
    <t>Munkaadókat terhelő járulék és szociális hozz. Adó</t>
  </si>
  <si>
    <t>Elérendő árbevétel kb. :</t>
  </si>
  <si>
    <t>10.1.</t>
  </si>
  <si>
    <t>10.2.</t>
  </si>
  <si>
    <t>6.3.</t>
  </si>
  <si>
    <t>11.3</t>
  </si>
  <si>
    <t>BEVÉTELEK ÖSSZESEN (9+10+11)</t>
  </si>
  <si>
    <t>Munkaadót terhelő járulékok és szociális hozzájárulási adó</t>
  </si>
  <si>
    <t>Önkormányzat által folyósított ellátásokra jutó járulák</t>
  </si>
  <si>
    <t>Ápolási díj  járuléka</t>
  </si>
  <si>
    <t xml:space="preserve">Működési célú kiadások helyi önkormányzatkoknak </t>
  </si>
  <si>
    <t>Működési célú  kiadás a Vecsési Egészségügyi Szolgálatnak önkormányzati támogatás</t>
  </si>
  <si>
    <t>Működési célú  kiadás az önállóan működő intézményeknek feladatalapú támogatás</t>
  </si>
  <si>
    <t>Működési célú  kiadás Polgármesteri Hivatalnak önkormányzati támogatás</t>
  </si>
  <si>
    <t>Működési célú  kiadás Polgármesteri Hivatalnak feladatalapú támogatás</t>
  </si>
  <si>
    <t>II. Támogatás Áht-on belülről (2.1.+…+2.4.)</t>
  </si>
  <si>
    <t>Működési bevétel Áht-on belülről</t>
  </si>
  <si>
    <t>Felhalmozási bevétel Áht-on belülről</t>
  </si>
  <si>
    <t>Felhalmozási célú támogatás  Áht-on belülről</t>
  </si>
  <si>
    <t>Bálint Ágnes Mesefesztivál</t>
  </si>
  <si>
    <t>2013.06.30. Módosított előirányzat</t>
  </si>
  <si>
    <t>2013.06.30. Teljesítés</t>
  </si>
  <si>
    <t>VárosKp Befejezéséhez munkálatok</t>
  </si>
  <si>
    <t>Bálint Ágnes Kúlt.Kp.Épület felügyeleti rend.terv</t>
  </si>
  <si>
    <t>Sportcsarnok terv.program</t>
  </si>
  <si>
    <t>VárosKp. Építés</t>
  </si>
  <si>
    <t>4.10</t>
  </si>
  <si>
    <t>Szántó vásárlás 0218/33-38,0218/96.hrsz.</t>
  </si>
  <si>
    <t>Bánya u. Ingatlanrész vásárlás</t>
  </si>
  <si>
    <t>VárosKp.Funkcíójavító beruházás</t>
  </si>
  <si>
    <t>VárosKp.Kiviteli munka</t>
  </si>
  <si>
    <t>Életjáradék /Lecső L./</t>
  </si>
  <si>
    <t>Lörinci u, Forgalomcsillapító küszöb</t>
  </si>
  <si>
    <t>Anna u. Jáétszótér Járdaépítés</t>
  </si>
  <si>
    <t>4.11</t>
  </si>
  <si>
    <t>4.12</t>
  </si>
  <si>
    <t>Bálint Ágnes Óvoda Játszótér Gumitégla</t>
  </si>
  <si>
    <t>Csigaház Pályázat Laptop vásárlás</t>
  </si>
  <si>
    <t>Számítógép vásárlás /Pénztárba is/</t>
  </si>
  <si>
    <t>Laptop vásárlás</t>
  </si>
  <si>
    <t>4.13</t>
  </si>
  <si>
    <t>4.14</t>
  </si>
  <si>
    <t>Bálint Ágnes Kúlt.Kp. Berendezések</t>
  </si>
  <si>
    <t>Halmi Telepi Ált.Iskola Vetitővászon</t>
  </si>
  <si>
    <t>4.15</t>
  </si>
  <si>
    <t>Grassalkovich Antal Német Nemzetiségi és Kétnyelvű Álatlános Iskola Játszóudvari eszközök</t>
  </si>
  <si>
    <t>4.16</t>
  </si>
  <si>
    <t>Semmelwies Bölcsőde Vanga gránit tábla</t>
  </si>
  <si>
    <t>Vadkamerák beszerzése</t>
  </si>
  <si>
    <t>Porszívó vásárlás</t>
  </si>
  <si>
    <t>Kerékpártároló</t>
  </si>
  <si>
    <t>Blokknyomtató készülék</t>
  </si>
  <si>
    <t>Vonalkódolvasó készülék</t>
  </si>
  <si>
    <t>Bútor beszerzés</t>
  </si>
  <si>
    <t>Klíma készülék</t>
  </si>
  <si>
    <t>Chevrolet Lacetti Gépkocsi vásárlás</t>
  </si>
  <si>
    <t>Interreg IVC RETS Pály.</t>
  </si>
  <si>
    <t>TÁMOP Befogadó Munkahelyek Pály.</t>
  </si>
  <si>
    <t>Csigaház Pályázat</t>
  </si>
  <si>
    <t xml:space="preserve">TÁMOP Jam ház </t>
  </si>
  <si>
    <t>3.29</t>
  </si>
  <si>
    <t>3.30</t>
  </si>
  <si>
    <t>3.31</t>
  </si>
  <si>
    <t>3.32</t>
  </si>
  <si>
    <t>3.33</t>
  </si>
  <si>
    <t>1.1.8</t>
  </si>
  <si>
    <t>1.1.9</t>
  </si>
  <si>
    <t>1.1.10</t>
  </si>
  <si>
    <t>Dobrovizt Kft./Fogathajtó/</t>
  </si>
  <si>
    <t>Wetsc.Nactigallen kórus</t>
  </si>
  <si>
    <t>Napraforgó Gyermek, Ifjúsági Táncegyesület</t>
  </si>
  <si>
    <t>1.6.3.14</t>
  </si>
  <si>
    <t>Petőfi Sándor Római Katolikus Ált.Isk.és Gimn.</t>
  </si>
  <si>
    <t>Vecsési Gasztro Kft.</t>
  </si>
  <si>
    <t>2013.évi Terv</t>
  </si>
  <si>
    <t>2013.Mód.EI</t>
  </si>
  <si>
    <t>9.3</t>
  </si>
  <si>
    <t>Számítógép és monitor</t>
  </si>
  <si>
    <t>Bálint Ágnes Kúlturális Központ</t>
  </si>
  <si>
    <t>Szerver számítógép</t>
  </si>
  <si>
    <t>Balettpadló</t>
  </si>
  <si>
    <t>11.4</t>
  </si>
  <si>
    <t>Cípősszekrény</t>
  </si>
  <si>
    <t>Iróasztal</t>
  </si>
  <si>
    <t>Játszóház polc és fotel</t>
  </si>
  <si>
    <t>11.5</t>
  </si>
  <si>
    <t>11.6</t>
  </si>
  <si>
    <t>Lépcsőházi dekor</t>
  </si>
  <si>
    <t>DPMV Zrt Bútorok</t>
  </si>
  <si>
    <t>Működés célú, támogatásért.bev.ÁH belülről EU-tól.kp.ktgvetésből</t>
  </si>
  <si>
    <t>15.1</t>
  </si>
  <si>
    <t>Sótalanító berendezés</t>
  </si>
  <si>
    <t>15.2</t>
  </si>
  <si>
    <t>15.3</t>
  </si>
  <si>
    <t>15.4</t>
  </si>
  <si>
    <t>15.5</t>
  </si>
  <si>
    <t>Agregátor adatgyüjtő javítási munkák</t>
  </si>
  <si>
    <t>Hidraulikus kezelő és vizsgálóasztal</t>
  </si>
  <si>
    <t>Filmnyomó vásárlás</t>
  </si>
  <si>
    <t>Anyag vásárlás /szám.tech./</t>
  </si>
  <si>
    <t>15.6</t>
  </si>
  <si>
    <t>15.7</t>
  </si>
  <si>
    <t>15.8</t>
  </si>
  <si>
    <t>15.9</t>
  </si>
  <si>
    <t>Nyomtató,lapadogoló vásárlás</t>
  </si>
  <si>
    <t>Klíma /7 tagú/ Háziorvosi rendelőkbe</t>
  </si>
  <si>
    <t>INTÉZMÉNYI FELÚJÍTÁSOK</t>
  </si>
  <si>
    <t>Beruházás megnevezése</t>
  </si>
  <si>
    <t>Módosított előirányzat</t>
  </si>
  <si>
    <t xml:space="preserve"> Módosított előirányzat</t>
  </si>
  <si>
    <t xml:space="preserve">Beszámoló 80-s táblához </t>
  </si>
  <si>
    <t>Eltérés:</t>
  </si>
  <si>
    <t>Működési bevétel 80 tábla szerint</t>
  </si>
  <si>
    <t>Felhalmozási bevétel 80 tábla szerint</t>
  </si>
  <si>
    <t>Működési kiadás 80 tábla szerint</t>
  </si>
  <si>
    <t>Felhalmozási kiadás 80 tábla szerint</t>
  </si>
  <si>
    <t>Finanszírozási célú bevételek (14+…+24)</t>
  </si>
  <si>
    <t>Finansírozási célú bev. (12+…+20)</t>
  </si>
  <si>
    <t>1.3.1.4.</t>
  </si>
  <si>
    <t>Pénzmaradvány</t>
  </si>
  <si>
    <t>BEVÉTELEK ÖSSZESEN (11+22)</t>
  </si>
  <si>
    <t>Beruházási kiadások összesen:</t>
  </si>
  <si>
    <t>2013.09.30.Módosított előirányzat</t>
  </si>
  <si>
    <t>2013.09.30. Teljesítés</t>
  </si>
  <si>
    <t>2013.09.30. Módosított előirányzat</t>
  </si>
  <si>
    <t xml:space="preserve">Magyar Kultúra Napja 2014. </t>
  </si>
  <si>
    <t>5.11.</t>
  </si>
  <si>
    <t>Kombihütő</t>
  </si>
  <si>
    <t>5.12.</t>
  </si>
  <si>
    <t>Mikrohullámúsütő</t>
  </si>
  <si>
    <t>5.13.</t>
  </si>
  <si>
    <t>Szerver csere</t>
  </si>
  <si>
    <t>Játszótéri játékok</t>
  </si>
  <si>
    <t>Tökház</t>
  </si>
  <si>
    <t>11.7</t>
  </si>
  <si>
    <t>11.8</t>
  </si>
  <si>
    <t>Jegynyilvántartó program</t>
  </si>
  <si>
    <t>Rozsdamentes asztal</t>
  </si>
  <si>
    <t>Epres területén Energia szükséglet</t>
  </si>
  <si>
    <t>Epres területén Vízelv.kiép. I.ütem</t>
  </si>
  <si>
    <t>Mezővédősorompó</t>
  </si>
  <si>
    <t>DPMV Zrt Közműhálózát és tűzcsap</t>
  </si>
  <si>
    <t>Gépjárműbeálló Lévai-Szabadkai</t>
  </si>
  <si>
    <t>4.17</t>
  </si>
  <si>
    <t>4.18</t>
  </si>
  <si>
    <t>4.19</t>
  </si>
  <si>
    <t>4.20</t>
  </si>
  <si>
    <t>4.21</t>
  </si>
  <si>
    <t>4.22</t>
  </si>
  <si>
    <t>4.23</t>
  </si>
  <si>
    <t>Bálint Ágnes Kúlt.Kp. Lépcsőkorlát</t>
  </si>
  <si>
    <t>Bálint Ágnes Kúlt.Kp. Festmény</t>
  </si>
  <si>
    <t>Gróf Andrássy Gy.Ált.isk. Öltőzőpad</t>
  </si>
  <si>
    <t>Gróf Andrássy Gy.Ált.isk. Hátsó kerítés</t>
  </si>
  <si>
    <t>KIK Klima berendezés</t>
  </si>
  <si>
    <t>Halmi isk. Hütőgép</t>
  </si>
  <si>
    <t>VárosKp. Építés HÉROSZ Végelsz.</t>
  </si>
  <si>
    <t>Felh.Árf.nyereség</t>
  </si>
  <si>
    <t>Hitelv.megt.kötvénybev.Árf.nyer.</t>
  </si>
  <si>
    <t>Party Pack Kft</t>
  </si>
  <si>
    <t>1.4.2.6.</t>
  </si>
  <si>
    <t>Többcélú kistérségtől</t>
  </si>
  <si>
    <t>1.3.3</t>
  </si>
  <si>
    <t xml:space="preserve">       - Egyéb központi támogatás</t>
  </si>
  <si>
    <t>Városi fejlesztések:</t>
  </si>
  <si>
    <t>EEI</t>
  </si>
  <si>
    <t>MEI</t>
  </si>
  <si>
    <t>Telj</t>
  </si>
  <si>
    <t>Polgármesteri Hivatal:</t>
  </si>
  <si>
    <t>Intézmények</t>
  </si>
  <si>
    <t xml:space="preserve">80-as </t>
  </si>
  <si>
    <t>Eltérés</t>
  </si>
  <si>
    <t>Működési célú kiadás központi költségvetési szervnek</t>
  </si>
  <si>
    <t>eltérés különbözete</t>
  </si>
  <si>
    <t xml:space="preserve">80-as szerint </t>
  </si>
  <si>
    <t>Bálint Ágnes Művelődési Központ</t>
  </si>
  <si>
    <t>54.</t>
  </si>
  <si>
    <t>55.</t>
  </si>
  <si>
    <t>56.</t>
  </si>
  <si>
    <t>57.</t>
  </si>
  <si>
    <t>58.</t>
  </si>
  <si>
    <t>59.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</si>
  <si>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</si>
  <si>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</si>
  <si>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</si>
  <si>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</si>
  <si>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</si>
  <si>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</si>
  <si>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</si>
  <si>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</si>
  <si>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</si>
  <si>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</si>
  <si>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</si>
  <si>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</si>
  <si>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</si>
  <si>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</si>
  <si>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48.</t>
  </si>
  <si>
    <t>60.</t>
  </si>
  <si>
    <t>61.</t>
  </si>
  <si>
    <t>62.</t>
  </si>
  <si>
    <t>63.</t>
  </si>
  <si>
    <t>64.</t>
  </si>
  <si>
    <t>15.9.</t>
  </si>
  <si>
    <t>15.10.</t>
  </si>
  <si>
    <t>Számítástechnika</t>
  </si>
  <si>
    <t>Klíma Védőnői Szolgálat</t>
  </si>
  <si>
    <t>Vecsési Futball létesítmények korszerűsítése ÖKIF hitelprogram 100.000.000 Ft</t>
  </si>
  <si>
    <t>Vecsés Város Önkormányzata 2011. évben 500.000.000 Ft MFB által refinanszírozott beruházási hitelt vett fel, melynek visszafizetési ütemezését a táblázat 4. sora tartalmazza.</t>
  </si>
  <si>
    <t>Az adósságkonszolidációt követően Vecsés Város Önkormámnyzatának adósságállománya jelentős mértékben csökkent ( Az 500.000.000 Ft hitelállományból 80.000.000 Ft maradt meg.  A 700.000.000 Ft-os kötvénykibocsátásból megmaradt tőke nagysága: 4.282.000 CHF.</t>
  </si>
  <si>
    <t>3.34</t>
  </si>
  <si>
    <t>Rövid lejáratú hitelek, kölcsönök felvétele</t>
  </si>
  <si>
    <t>2014. évi terv</t>
  </si>
  <si>
    <t>2014. évi Eredeti előirányzat</t>
  </si>
  <si>
    <t>2014. évi Terv</t>
  </si>
  <si>
    <t>2014. évi előirányzat</t>
  </si>
  <si>
    <t xml:space="preserve"> - Bursa ösztöndíj "A", "B" </t>
  </si>
  <si>
    <t>Óvodapedagogusok szeptemberi béremelése</t>
  </si>
  <si>
    <t xml:space="preserve">Választás </t>
  </si>
  <si>
    <t xml:space="preserve"> - Helyi közlekedés</t>
  </si>
  <si>
    <t xml:space="preserve">
2014. év utáni szükséglet
</t>
  </si>
  <si>
    <t>Felhasználás
2013. XII.31-ig</t>
  </si>
  <si>
    <t>Működési célú kiadás társulásnak</t>
  </si>
  <si>
    <t>GASZRTO KFT felügyelő bizottsági tagok díja</t>
  </si>
  <si>
    <t>Iskolák közötti sportverseny (tárgyi jutalmak)</t>
  </si>
  <si>
    <t>Településfejlesztési koncepció, ITS + HÉSZ felülvizsgálat</t>
  </si>
  <si>
    <t>Repülőtér által generált helyi tudásalapú (Norvég Alap pályázat)</t>
  </si>
  <si>
    <t>Epres műfüves futballpálya létesítése</t>
  </si>
  <si>
    <t>ÁROP-3.A2-2013-2013-0031 j. pályázathoz lakossági felmérés</t>
  </si>
  <si>
    <t>Polgármesteri Hivatal épületenergetikai felmérése</t>
  </si>
  <si>
    <t>2014. évben benyújtandó pályázatok önrésze</t>
  </si>
  <si>
    <t>GASZTRO</t>
  </si>
  <si>
    <t>kb. 260.000 e Ft</t>
  </si>
  <si>
    <t>2014. év</t>
  </si>
  <si>
    <t>Beszámítás után: (50%)</t>
  </si>
  <si>
    <t>Óvódapedagógusok átlagbérének és közterheinek elismert pótlólagos összege</t>
  </si>
  <si>
    <t>Ggyermekétkeztetés támogatás</t>
  </si>
  <si>
    <t>5.a)</t>
  </si>
  <si>
    <t>Finanszírozás szempontjából elismert dolgozók bértámogatása</t>
  </si>
  <si>
    <t>5.b)</t>
  </si>
  <si>
    <t>Gyermekétkeztetés üzemeltetési támogatása</t>
  </si>
  <si>
    <t>Időskorúak nappali intézményi ellátása</t>
  </si>
  <si>
    <t xml:space="preserve"> Iskolák technikai dolgozói</t>
  </si>
  <si>
    <t>Szabadidőpark kivitelezése</t>
  </si>
  <si>
    <t>Lakótelepi kis játszótér kerítés építés</t>
  </si>
  <si>
    <t>Ügyességi pálya kialakítása (gördeszkapálya)</t>
  </si>
  <si>
    <t>Ravatalozó kivitelezése II. ütem</t>
  </si>
  <si>
    <t>Lanyi területrendezés, használatba vételi eljárási költségek</t>
  </si>
  <si>
    <t>Táblakataszter elkészítése</t>
  </si>
  <si>
    <t>Járdaépítésehez térkő biztosítása</t>
  </si>
  <si>
    <t>Mosolyország Óvoda akadálymentes bejutási lehetőség biztosítása</t>
  </si>
  <si>
    <t>Gondozási Központ tűzcsap telepítése</t>
  </si>
  <si>
    <t>2014 évi előirányzat</t>
  </si>
  <si>
    <t>2014. év utáni szükséglet
(6=2 - 4 - 5)</t>
  </si>
  <si>
    <t>Vecsés Város Önkormányzat 2014. évi adósságot keletkeztető fejlesztési céljai</t>
  </si>
  <si>
    <t>2014. évben 4 hónapra</t>
  </si>
  <si>
    <t>2014. évben 8 hónapra</t>
  </si>
  <si>
    <t>Központi költségvetési kapcsolatokból származó 2014. évi források összesen:</t>
  </si>
  <si>
    <t>2014. előtti kifizetés</t>
  </si>
  <si>
    <t>2016. 
után</t>
  </si>
  <si>
    <t>Finanszírozási célú kiad. (12+...+21)</t>
  </si>
  <si>
    <t>4.4. sz. melléklet</t>
  </si>
  <si>
    <t>5.10. sz.melléklet</t>
  </si>
  <si>
    <t>működési támogatás</t>
  </si>
  <si>
    <t>2014.Teljesítés</t>
  </si>
  <si>
    <t>Idősek ellátása (jelzőrendszer)</t>
  </si>
  <si>
    <t>Készletértékesítés ellenértéke</t>
  </si>
  <si>
    <t>Szolgáltatások ellenértéke</t>
  </si>
  <si>
    <t>Tulajdonosi bevételek (bérleti díj)</t>
  </si>
  <si>
    <t>Ellátási díjak ( ellátotti étkeztetés, gondozás, bölcsődei ellátás)</t>
  </si>
  <si>
    <t>Közvetített szolgáltatás ellenértéke</t>
  </si>
  <si>
    <t>Kiszámlázott általános forgalmi adó</t>
  </si>
  <si>
    <t>Általános forgalmi adó visszatérítése</t>
  </si>
  <si>
    <t>Kamatbevétel</t>
  </si>
  <si>
    <t>Egyéb pénzügyi műveletek bevételei</t>
  </si>
  <si>
    <t>Egyéb működési  bevétel</t>
  </si>
  <si>
    <t>II. Működési célú támogatások államháztartáson belűlről (2.1.+…+2.3.)</t>
  </si>
  <si>
    <t>Egyéb működési célú támogatások bevételei államháztartáson belűlről</t>
  </si>
  <si>
    <t xml:space="preserve"> Egyéb működési célú támogatások  intézményeknél  (feladatalapú támogatások)</t>
  </si>
  <si>
    <t>Elvonások és befizetések bevételei</t>
  </si>
  <si>
    <t>Visszatérítendő támogatások, kölcsönök visszatérülése</t>
  </si>
  <si>
    <t>III. Működési célú átvett pénzeszköz (3.1.)</t>
  </si>
  <si>
    <t>Egyéb működési célú átvett pénzeszköz államháztartáson  kivülről</t>
  </si>
  <si>
    <t>Immateriális javak értékesítése (vagyonhasznosítás)</t>
  </si>
  <si>
    <t>Ingatlanok értékesítése</t>
  </si>
  <si>
    <t>Egyéb tárgyi eszközök értékesítése</t>
  </si>
  <si>
    <t>Egyéb felhalmozási célú támogatások bevételei államháztartáson belűlről</t>
  </si>
  <si>
    <t>VI. Felhalmozási célú átvett pénzeszköz (6.1.)</t>
  </si>
  <si>
    <t>Egyéb felhalmozási célú átvett pénzeszköz államháztartáson  kivülről</t>
  </si>
  <si>
    <t>VII. Finanszírozási bevételek (7.1+…+7.3.)</t>
  </si>
  <si>
    <t>Költségvetési  maradvány igénybevétele</t>
  </si>
  <si>
    <t>Válalkozási maradvány igénybevétele</t>
  </si>
  <si>
    <t>Irányító szervi (önkormányzati) támogatás (intézményfinanszírozás</t>
  </si>
  <si>
    <t>7.3.</t>
  </si>
  <si>
    <t>Egyéb felhalmozási célú kiadás</t>
  </si>
  <si>
    <t>KIADÁSOK ÖSSZESEN: (1+2)</t>
  </si>
  <si>
    <t>Óvodai nevelés                                                         Kötelező feladatok</t>
  </si>
  <si>
    <t>Óvodai nevelés                                                         Önként vállalat feladatok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</si>
  <si>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(2.1+…+2.4.)</t>
    </r>
  </si>
  <si>
    <t>IV. Felhalmozási  bevételek  (4.1+…+4.3.)</t>
  </si>
  <si>
    <t>V. Felhalmozási célú támogatások államháztartáson belűlről (5.1.)</t>
  </si>
  <si>
    <r>
      <t xml:space="preserve">I. Működési költségvetés kiadásai </t>
    </r>
    <r>
      <rPr>
        <sz val="11"/>
        <rFont val="Times New Roman CE"/>
        <family val="1"/>
        <charset val="238"/>
      </rPr>
      <t>(1.1.+…+1.5.)</t>
    </r>
  </si>
  <si>
    <r>
      <t xml:space="preserve">II. Felhalmozási költségvetés kiadásai </t>
    </r>
    <r>
      <rPr>
        <sz val="11"/>
        <rFont val="Times New Roman CE"/>
        <family val="1"/>
        <charset val="238"/>
      </rPr>
      <t>(2.1.+…+2.4.)</t>
    </r>
  </si>
  <si>
    <t>Óvodai nevelés                                                         Államigazgatási feladatok</t>
  </si>
  <si>
    <t>Óvodai nevelés                                                         Összesen</t>
  </si>
  <si>
    <t>Óvodai nevelés                                                                 Önként vállalat feladatok</t>
  </si>
  <si>
    <t>Óvodai nevelés                                                            Kötelező feladatok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</si>
  <si>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(2.1+…+2.3)</t>
    </r>
  </si>
  <si>
    <t>Közétkeztetés                                                Kötelező feladatok</t>
  </si>
  <si>
    <t>Közétkeztetés                                                  Összesen</t>
  </si>
  <si>
    <t>Közétkeztetés                                                       Önként vállalt feladatok</t>
  </si>
  <si>
    <t>Közétkeztetés                                          Államigazgatási feladatok</t>
  </si>
  <si>
    <t>Kötelező feladatok</t>
  </si>
  <si>
    <t>Önként vállalt feladatok</t>
  </si>
  <si>
    <t>Államigazgatási feladatok</t>
  </si>
  <si>
    <t>Közművelődés                                                            Kötelező feladatok</t>
  </si>
  <si>
    <t>Közművelődés                                                                 Államigazgatási feladatok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</si>
  <si>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(2.1.+…+2.3.)</t>
    </r>
  </si>
  <si>
    <t>Gazdasági szervezettel rendelkező költségvetési szerv</t>
  </si>
  <si>
    <t xml:space="preserve">Járóbetegek gyógyító szakellátása </t>
  </si>
  <si>
    <t xml:space="preserve">Felhalmozási  bevételek  </t>
  </si>
  <si>
    <t>Működési célú támogatások államháztartáson belűlről</t>
  </si>
  <si>
    <t>Finanszírozási bevételek</t>
  </si>
  <si>
    <t>Irányító szervi (önkormányzati) támogatás (intézményfinanszírozás)</t>
  </si>
  <si>
    <t xml:space="preserve"> Felhalmozási célú átvett pénzeszköz</t>
  </si>
  <si>
    <t>Működési költségvetés kiadásai</t>
  </si>
  <si>
    <t xml:space="preserve">Felhalmozási költségvetés kiadásai </t>
  </si>
  <si>
    <t>1.4.1</t>
  </si>
  <si>
    <t>Háziorvosi ügyeleti ellátás szolgálat</t>
  </si>
  <si>
    <t xml:space="preserve">Fogorvosi alapellátás </t>
  </si>
  <si>
    <t xml:space="preserve">Ifjúság-egészségügyi gondozás </t>
  </si>
  <si>
    <t xml:space="preserve">Család- és nővédelmi egészségügyi gondozás </t>
  </si>
  <si>
    <t xml:space="preserve">Egy napos sebészeti ellátás </t>
  </si>
  <si>
    <t xml:space="preserve">Foglalkozás-egészségügyi alapellátás </t>
  </si>
  <si>
    <t>Kötelező feladatellátás</t>
  </si>
  <si>
    <t>Önként vállalt feladatellátás</t>
  </si>
  <si>
    <t>Államigazgatási feladatellátás</t>
  </si>
  <si>
    <t>Központi, Irányítószervi támogatás folyósítása</t>
  </si>
  <si>
    <t xml:space="preserve"> MŰKÖDÉSI KIADÁSOK</t>
  </si>
  <si>
    <t>1.5.3.</t>
  </si>
  <si>
    <t>1.5.4.</t>
  </si>
  <si>
    <t>1.5.5.</t>
  </si>
  <si>
    <t>Egyéb működési célú támogatás államháztartáson kívülre</t>
  </si>
  <si>
    <t>II. FELHALMOZÁSI  KIADÁSOK</t>
  </si>
  <si>
    <t>Egyéb felhalmozási célú támogatás államháztartáson kívülre</t>
  </si>
  <si>
    <t>2.3.1.2.</t>
  </si>
  <si>
    <t xml:space="preserve">Önkormányzati feladatok </t>
  </si>
  <si>
    <t>Városgazdálkodás</t>
  </si>
  <si>
    <t>Közvilágítás</t>
  </si>
  <si>
    <t xml:space="preserve">Közcélú foglalkoztatás </t>
  </si>
  <si>
    <t>Lakóingatlan bérbeadása üzemeltetése</t>
  </si>
  <si>
    <t xml:space="preserve">Utak üzemeltetése </t>
  </si>
  <si>
    <t xml:space="preserve">Zöldterület kezelés </t>
  </si>
  <si>
    <t>Egyéb oktatási célok feladatok (Kisegítő Iskolások)</t>
  </si>
  <si>
    <t>Nem lakóingatlan bérbeadása üzemelt.</t>
  </si>
  <si>
    <t>Önkormányzati feladatok  összesítés</t>
  </si>
  <si>
    <t>Egyéb  működési bevétel</t>
  </si>
  <si>
    <t>Tulajdonosi bevételek</t>
  </si>
  <si>
    <t>Közvetített szolgáltatások ellenértéke</t>
  </si>
  <si>
    <t>1.1.4.1.</t>
  </si>
  <si>
    <t>1.1.4.2.</t>
  </si>
  <si>
    <t>Vagyoni típusú adok</t>
  </si>
  <si>
    <t>Termékek és szolgáltatások adói</t>
  </si>
  <si>
    <t>Értékesítési és forgalmi adók</t>
  </si>
  <si>
    <t>Gépjárműadók</t>
  </si>
  <si>
    <t xml:space="preserve"> -Gépjárműadó önkormányzatot megillető része</t>
  </si>
  <si>
    <t>1.2.2.1</t>
  </si>
  <si>
    <t>1.2.2.1.1</t>
  </si>
  <si>
    <t>1.2.2.2.1</t>
  </si>
  <si>
    <t>Egyéb áruhasználati és szolgáltatási adók</t>
  </si>
  <si>
    <t xml:space="preserve"> -Idegenforgalmi adó tartózkodás után</t>
  </si>
  <si>
    <t xml:space="preserve"> -Talajterhelési díj</t>
  </si>
  <si>
    <t>Egyéb közhatalmi bevételek</t>
  </si>
  <si>
    <t xml:space="preserve"> -Bírságok</t>
  </si>
  <si>
    <t>1.2.2.3.1</t>
  </si>
  <si>
    <t>1.2.2.3.2</t>
  </si>
  <si>
    <t>1.2.3.1.</t>
  </si>
  <si>
    <t>Önkormányzat működési támogatása</t>
  </si>
  <si>
    <t>Egyéb működési célú támogatás bevételei államháztartáson belűlről</t>
  </si>
  <si>
    <t>Egyéb működési célú átvett pénzeszköz</t>
  </si>
  <si>
    <t>II. FELHALMOZÁSI  BEVÉTELEK</t>
  </si>
  <si>
    <t>Felhalmozási bevételek</t>
  </si>
  <si>
    <t>Részesedések értékesítése</t>
  </si>
  <si>
    <t>Felhalmozási célú önkormányzati támogatás</t>
  </si>
  <si>
    <t>Egyéb felhalmozási célú támogatások</t>
  </si>
  <si>
    <t>Felhalmozási célú visszatérítendő támogatás, kölcsön visszatérülése államháztartáson kívülről</t>
  </si>
  <si>
    <t>Kamatmentes kölcsön</t>
  </si>
  <si>
    <t>Egyéb felhalmozási célú átvett pénzeszköz</t>
  </si>
  <si>
    <t>III. FINANSZÍROZÁSI BEVÉTELEK</t>
  </si>
  <si>
    <t>Belföldi finanszírozás bevételei</t>
  </si>
  <si>
    <t>Hitel-, kölcsönfelvétel államháztartáson kívülről</t>
  </si>
  <si>
    <t>Hosszú lejáratú hitelek, kölcsönök felvétele</t>
  </si>
  <si>
    <t>Likviditási célú hitelek felvétele</t>
  </si>
  <si>
    <t>3.1.1</t>
  </si>
  <si>
    <t>3.1.1.1</t>
  </si>
  <si>
    <t>3.1.1.2</t>
  </si>
  <si>
    <t>3.1.1.3</t>
  </si>
  <si>
    <t>Belföldi értékpapírok bevételei</t>
  </si>
  <si>
    <t>3.1.2</t>
  </si>
  <si>
    <t>3.1.3</t>
  </si>
  <si>
    <t>Maradvány igénybevétele</t>
  </si>
  <si>
    <t>Előző évi költségvetési maradvány igénybevétele</t>
  </si>
  <si>
    <t>3.1.3.1</t>
  </si>
  <si>
    <t>3.1.3.2</t>
  </si>
  <si>
    <t>Központi, irányító szervi támogatás</t>
  </si>
  <si>
    <t>Betétek megszüntetése</t>
  </si>
  <si>
    <t>3.1.3.</t>
  </si>
  <si>
    <t>3.1.4.</t>
  </si>
  <si>
    <t>Működési célú támogatások államháztartáson belülről</t>
  </si>
  <si>
    <t xml:space="preserve">Önkormányzat működési bevételek </t>
  </si>
  <si>
    <t>I. Működési bevételek összesen:</t>
  </si>
  <si>
    <t>II. Felhalmozási  bevételek összesen:</t>
  </si>
  <si>
    <t>Felhalmozási célú támogatás Államháztartáson belülről</t>
  </si>
  <si>
    <t>III. Finanszírozási bevételek összesen:</t>
  </si>
  <si>
    <r>
      <t xml:space="preserve">I. Működési  kiadások </t>
    </r>
    <r>
      <rPr>
        <sz val="8"/>
        <rFont val="Times New Roman CE"/>
        <family val="1"/>
        <charset val="238"/>
      </rPr>
      <t>(1.1+…+1.5.)</t>
    </r>
  </si>
  <si>
    <t>Egyéb felhalmmozási célú támogatás államháztartáson kívülre</t>
  </si>
  <si>
    <t>Irányító szervi támogatás folyósítása</t>
  </si>
  <si>
    <t xml:space="preserve">III. Finanszírozási  kiadások </t>
  </si>
  <si>
    <t>Halmozódás miatti levonás</t>
  </si>
  <si>
    <t>Halmozódás mentes kiadás összesen:</t>
  </si>
  <si>
    <t xml:space="preserve">Működési bevételek </t>
  </si>
  <si>
    <t>HALMOZÓDÁS MENTES BEVÉTELEK ÖSSZESEN</t>
  </si>
  <si>
    <t>Irányítószervi támogatás</t>
  </si>
  <si>
    <t>Egyéb működési bevételek</t>
  </si>
  <si>
    <t>Felhalmozási célú támogatások államháztartáson belülről</t>
  </si>
  <si>
    <t>Felhalmozási célú átvett pénzeszközök</t>
  </si>
  <si>
    <t>Belföldi finanszírozás igénybevétele</t>
  </si>
  <si>
    <t>BEVÉTELEK ÖSSZESEN (13-24)</t>
  </si>
  <si>
    <t>Közművelődés                                                                                                  Önként vállalt feladatellátás</t>
  </si>
  <si>
    <t>Kötelező feladaellátás</t>
  </si>
  <si>
    <t>III. FINANSZÍROZÁSI BEVÉTELEK ÖSSZESEN:</t>
  </si>
  <si>
    <t>MŰKÖDÉSI,  FELHALMOZÁSI ÉS FINANSZÍROZÁSI  BEVÉTELEK ÖSSZESEN :</t>
  </si>
  <si>
    <t>B E V É T E L E K</t>
  </si>
  <si>
    <t>Ezer forintban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</si>
  <si>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</si>
  <si>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</si>
  <si>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</si>
  <si>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</si>
  <si>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</si>
  <si>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</si>
  <si>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</si>
  <si>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</si>
  <si>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</si>
  <si>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</si>
  <si>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</si>
  <si>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</si>
  <si>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</si>
  <si>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</si>
  <si>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</si>
  <si>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</si>
  <si>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</si>
  <si>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4.4.</t>
  </si>
  <si>
    <t>5.3.</t>
  </si>
  <si>
    <t>Közvetített szolgáltatások értéke</t>
  </si>
  <si>
    <t>5.4.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</si>
  <si>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</si>
  <si>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</si>
  <si>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</si>
  <si>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</si>
  <si>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</si>
  <si>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</si>
  <si>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5.9.</t>
  </si>
  <si>
    <t>Immateriális javak értékesítése</t>
  </si>
  <si>
    <t>6.4.</t>
  </si>
  <si>
    <t>6.5.</t>
  </si>
  <si>
    <t>Részesedések megszűnéséhez kapcsolódó bevételek</t>
  </si>
  <si>
    <t>Működési célú garancia- és kezességvállalásból megtérülések ÁH-n kívülről</t>
  </si>
  <si>
    <t>Működési célú visszatérítendő támogatások, kölcsönök visszatér. ÁH-n kívülről</t>
  </si>
  <si>
    <t>7.4.</t>
  </si>
  <si>
    <t>7.3.-ból EU-s támogatás (közvetlen)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</si>
  <si>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</si>
  <si>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</si>
  <si>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</si>
  <si>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8.4.</t>
  </si>
  <si>
    <t>8.3.-ból EU-s támogatás (közvetlen)</t>
  </si>
  <si>
    <t>Hosszú lejáratú  hitelek, kölcsönök felvétele</t>
  </si>
  <si>
    <t>Likviditási célú  hitelek, kölcsönök felvétele pénzügyi vállalkozástól</t>
  </si>
  <si>
    <t>10.3.</t>
  </si>
  <si>
    <t xml:space="preserve">    Rövid lejáratú  hitelek, kölcsönök felvétele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</si>
  <si>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</si>
  <si>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</si>
  <si>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</si>
  <si>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</si>
  <si>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</si>
  <si>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</si>
  <si>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12.1.</t>
  </si>
  <si>
    <t>Előző év költségvetési maradványának igénybevétele</t>
  </si>
  <si>
    <t>12.2.</t>
  </si>
  <si>
    <t>Előző év vállalkozási maradványának igénybevétele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</si>
  <si>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</si>
  <si>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</si>
  <si>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</si>
  <si>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</si>
  <si>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</si>
  <si>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</si>
  <si>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</si>
  <si>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</si>
  <si>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</si>
  <si>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</si>
  <si>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</si>
  <si>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</si>
  <si>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</si>
  <si>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>Adóssághoz nem kapcsolódó származékos ügyletek bevételei</t>
  </si>
  <si>
    <t>Kiadási jogcímek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</si>
  <si>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</si>
  <si>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</si>
  <si>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</si>
  <si>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</si>
  <si>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</si>
  <si>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</si>
  <si>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</si>
  <si>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</si>
  <si>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</si>
  <si>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</si>
  <si>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</si>
  <si>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</si>
  <si>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</si>
  <si>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</si>
  <si>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</si>
  <si>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</si>
  <si>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</si>
  <si>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</si>
  <si>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</si>
  <si>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</si>
  <si>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</si>
  <si>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</si>
  <si>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</si>
  <si>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</si>
  <si>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</si>
  <si>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</si>
  <si>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</si>
  <si>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</si>
  <si>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</si>
  <si>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</si>
  <si>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</si>
  <si>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</si>
  <si>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</si>
  <si>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</si>
  <si>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</si>
  <si>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</si>
  <si>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</si>
  <si>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</si>
  <si>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</si>
  <si>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</si>
  <si>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</si>
  <si>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</si>
  <si>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</si>
  <si>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</si>
  <si>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</si>
  <si>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</si>
  <si>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</si>
  <si>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</si>
  <si>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</si>
  <si>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</si>
  <si>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Működési bevételek</t>
  </si>
  <si>
    <t xml:space="preserve">Felhalmozási bevételek </t>
  </si>
  <si>
    <t>Működési célú átvett pénzeszközök</t>
  </si>
  <si>
    <t xml:space="preserve">Felhalmozási célú átvett pénzeszközök </t>
  </si>
  <si>
    <t xml:space="preserve">Hitel-, kölcsönfelvétel államháztartáson kívülről  </t>
  </si>
  <si>
    <t xml:space="preserve">Belföldi finanszírozás bevételei </t>
  </si>
  <si>
    <t xml:space="preserve">Külföldi finanszírozás bevételei </t>
  </si>
  <si>
    <t xml:space="preserve">   Működési költségvetés kiadásai</t>
  </si>
  <si>
    <t xml:space="preserve">   Felhalmozási költségvetés kiadásai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</si>
  <si>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</si>
  <si>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</si>
  <si>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</si>
  <si>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</si>
  <si>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KÖLTSÉGVETÉSI KIADÁSOK ÖSSZESEN (1+2)</t>
  </si>
  <si>
    <t>I. Működési bevételek (1.1.+…+1.10.)</t>
  </si>
  <si>
    <t>feladatalapú támogatás</t>
  </si>
  <si>
    <t>önkormányzati támogatás</t>
  </si>
  <si>
    <t>7.3.1.</t>
  </si>
  <si>
    <t>7.3.2</t>
  </si>
  <si>
    <t xml:space="preserve"> Működési bevételek</t>
  </si>
  <si>
    <t>1.9.1</t>
  </si>
  <si>
    <t>1.9.2</t>
  </si>
  <si>
    <t>1.9.3</t>
  </si>
  <si>
    <t>1.9.4</t>
  </si>
  <si>
    <t>1.9.5</t>
  </si>
  <si>
    <t>III. FINANSZÍROZÁSI  KIADÁSOK</t>
  </si>
  <si>
    <t>III.  MŰKÖDÉSI KIADÁSOK</t>
  </si>
  <si>
    <t>1.3.3.3</t>
  </si>
  <si>
    <t>1.3.3.4</t>
  </si>
  <si>
    <t>1.3.3.5</t>
  </si>
  <si>
    <t>3.1.1.4</t>
  </si>
  <si>
    <t>4.c. sz. melléklet</t>
  </si>
  <si>
    <t>4.b. sz. melléklet</t>
  </si>
  <si>
    <t>4.a. sz. melléklet</t>
  </si>
  <si>
    <t>5.a. sz. melléklet</t>
  </si>
  <si>
    <t>5.b. sz. melléklet</t>
  </si>
  <si>
    <t>5.c. sz. melléklet</t>
  </si>
  <si>
    <t>5.1.a. sz. mellékleet</t>
  </si>
  <si>
    <t>5.1.b. sz. mellékleet</t>
  </si>
  <si>
    <t>5.1.c. sz. mellékleet</t>
  </si>
  <si>
    <t>5.2.a. sz. melléklet</t>
  </si>
  <si>
    <t>5.2.b.sz. melléklet</t>
  </si>
  <si>
    <t>5.2.c. sz. melléklet</t>
  </si>
  <si>
    <t>5.3.a  sz.melléklet</t>
  </si>
  <si>
    <t>5.3.b. sz.melléklet</t>
  </si>
  <si>
    <t>5.3c. sz.melléklet</t>
  </si>
  <si>
    <t>5.4.a. sz. melléklet</t>
  </si>
  <si>
    <t>5.4.b. sz. melléklet</t>
  </si>
  <si>
    <t>5.4.c. sz. melléklet</t>
  </si>
  <si>
    <t>5.5.a sz. melléklet</t>
  </si>
  <si>
    <t>5.5.b. sz. melléklet</t>
  </si>
  <si>
    <t>5.5.c. sz. melléklet</t>
  </si>
  <si>
    <t>5.6.a. sz. melléklet</t>
  </si>
  <si>
    <t>5.6.b. sz. melléklet</t>
  </si>
  <si>
    <t>5.6.c. sz. melléklet</t>
  </si>
  <si>
    <t>5.7.a. sz. melléklet</t>
  </si>
  <si>
    <t>5.7.b. sz. melléklet</t>
  </si>
  <si>
    <t>5.7.c. sz. melléklet</t>
  </si>
  <si>
    <t>5.8.a. sz. melléklet</t>
  </si>
  <si>
    <t>5.8.b. sz. melléklet</t>
  </si>
  <si>
    <t>5.8.c. sz. melléklet</t>
  </si>
  <si>
    <t>5.9.a. sz. melléklet</t>
  </si>
  <si>
    <t>5.9.b. sz. melléklet</t>
  </si>
  <si>
    <t>5.9.c. sz. melléklet</t>
  </si>
  <si>
    <t>5.10a.. sz.melléklet</t>
  </si>
  <si>
    <t>5.10.b. sz.melléklet</t>
  </si>
  <si>
    <t>5.10.c. sz.melléklet</t>
  </si>
  <si>
    <t>EU-s projekt neve, azonosítója:</t>
  </si>
  <si>
    <t>Csigaház Gyermekterápiás Projekt TÁMOP.5.2.5.A-10/1-2010-0018</t>
  </si>
  <si>
    <t>AirLED</t>
  </si>
  <si>
    <t>2016.</t>
  </si>
  <si>
    <t>2016. után</t>
  </si>
  <si>
    <t>Előirányzat-felhasználási terv
2014. évre</t>
  </si>
  <si>
    <t>Ezer forintban !</t>
  </si>
  <si>
    <t>Működési célú támogatások ÁH-on belül</t>
  </si>
  <si>
    <t>Felhalmozási célú támogatások ÁH-on belül</t>
  </si>
  <si>
    <t xml:space="preserve"> Egyéb működési célú kiadások</t>
  </si>
  <si>
    <t>Finanszírozási kiadások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</si>
  <si>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</si>
  <si>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</si>
  <si>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</si>
  <si>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</si>
  <si>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Ezer forintban!</t>
  </si>
  <si>
    <t>Saját bevétel és adósságot keletkeztető ügyletből eredő fizetési kötelezettség összegei</t>
  </si>
  <si>
    <t>ÖSSZESEN
7=(3+4+5+6)</t>
  </si>
  <si>
    <t>2017.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</si>
  <si>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</si>
  <si>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</si>
  <si>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</si>
  <si>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</si>
  <si>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</si>
  <si>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</si>
  <si>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</si>
  <si>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05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</si>
  <si>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</si>
  <si>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</si>
  <si>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</si>
  <si>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</si>
  <si>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</si>
  <si>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</si>
  <si>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</si>
  <si>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</si>
  <si>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</si>
  <si>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</si>
  <si>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</si>
  <si>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</si>
  <si>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</si>
  <si>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</si>
  <si>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</si>
  <si>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</si>
  <si>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</si>
  <si>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Vecsés Város Önkormányzat adósságot keletkeztető ügyleteiből eredő fizetési kötelezettségeinek bemutatása</t>
  </si>
  <si>
    <t>Működési célú  kiadás a gazdasági szervezettel nem rendelkező intézményeknek önkormányzati támogatás</t>
  </si>
  <si>
    <t>Települési önkormányzatok egyes köznevelési  feladatainak támogatása</t>
  </si>
  <si>
    <t>Települési Önkormányatok szociális, gyermekjóléti és gyermekétkeztetési fealadatinak támogatása</t>
  </si>
  <si>
    <t>KÖLTSÉGVETÉSI BEVÉTELEK ÖSSZESEN: (1+…+7)</t>
  </si>
  <si>
    <t>FINANSZÍROZÁSI BEVÉTELEK ÖSSZESEN: (9. + … +14.)</t>
  </si>
  <si>
    <t>KÖLTSÉGVETÉSI ÉS FINANSZÍROZÁSI BEVÉTELEK ÖSSZESEN: (8+15)</t>
  </si>
  <si>
    <t>2013. évi várható</t>
  </si>
  <si>
    <t>2012. évi tényadatok</t>
  </si>
  <si>
    <t>Kiegyenlítő-, függő, átfutó bevételek:</t>
  </si>
  <si>
    <t>Kiegyenlítő-, függő, átfutó kiadások:</t>
  </si>
  <si>
    <t xml:space="preserve"> Működési bevételek és kiadások mérlege
(Önkormányzati szinten)</t>
  </si>
  <si>
    <t xml:space="preserve"> Felhalmozási 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</si>
</sst>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yyyy\-mm\-dd"/>
    <numFmt numFmtId="167" formatCode="mmm\ d/"/>
    <numFmt numFmtId="168" formatCode="#,##0.0"/>
    <numFmt numFmtId="169" formatCode="_-* #,##0\ _F_t_-;\-* #,##0\ _F_t_-;_-* \-??\ _F_t_-;_-@_-"/>
    <numFmt numFmtId="170" formatCode="#"/>
    <numFmt numFmtId="171" formatCode="#,##0\ _F_t"/>
    <numFmt numFmtId="172" formatCode="#,##0_ ;\-#,##0\ "/>
    <numFmt numFmtId="173" formatCode="#,##0.0\ _F_t"/>
    <numFmt numFmtId="174" formatCode="_-* #,##0\ _F_t_-;\-* #,##0\ _F_t_-;_-* &quot;-&quot;??\ _F_t_-;_-@_-"/>
    <numFmt numFmtId="175" formatCode="#&quot; &quot;???/???"/>
    <numFmt numFmtId="176" formatCode="#,###.00"/>
    <numFmt numFmtId="177" formatCode="#,##0_ ;[Red]\-#,##0\ "/>
  </numFmts>
  <fonts count="95" x14ac:knownFonts="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1"/>
      <name val="MS Sans Serif"/>
      <family val="2"/>
      <charset val="238"/>
    </font>
    <font>
      <b/>
      <sz val="12"/>
      <name val="MS Sans Serif"/>
      <family val="2"/>
      <charset val="238"/>
    </font>
    <font>
      <b/>
      <sz val="13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6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i/>
      <sz val="9"/>
      <name val="Times New Roman CE"/>
      <charset val="238"/>
    </font>
    <font>
      <sz val="9"/>
      <name val="Times New Roman CE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imes New Roman CE"/>
      <charset val="238"/>
    </font>
    <font>
      <sz val="13"/>
      <name val="Times New Roman CE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4"/>
      <name val="Times New Roman CE"/>
      <charset val="238"/>
    </font>
    <font>
      <sz val="13"/>
      <name val="Times New Roman CE"/>
      <family val="1"/>
      <charset val="238"/>
    </font>
    <font>
      <i/>
      <sz val="11"/>
      <name val="Times New Roman CE"/>
      <charset val="238"/>
    </font>
    <font>
      <sz val="11"/>
      <name val="Times New Roman CE"/>
      <charset val="238"/>
    </font>
    <font>
      <b/>
      <i/>
      <sz val="9"/>
      <name val="Times New Roman CE"/>
      <charset val="238"/>
    </font>
    <font>
      <b/>
      <sz val="12"/>
      <color indexed="10"/>
      <name val="Times New Roman CE"/>
      <charset val="238"/>
    </font>
    <font>
      <b/>
      <sz val="18"/>
      <name val="Times New Roman CE"/>
      <family val="1"/>
      <charset val="238"/>
    </font>
    <font>
      <b/>
      <i/>
      <sz val="11"/>
      <name val="Times New Roman CE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4506668294322"/>
        <bgColor indexed="64"/>
      </patternFill>
    </fill>
  </fills>
  <borders count="29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59" fillId="0" borderId="0" applyFill="0" applyBorder="0" applyAlignment="0" applyProtection="0"/>
    <xf numFmtId="164" fontId="59" fillId="0" borderId="0" applyFill="0" applyBorder="0" applyAlignment="0" applyProtection="0"/>
    <xf numFmtId="164" fontId="59" fillId="0" borderId="0" applyFill="0" applyBorder="0" applyAlignment="0" applyProtection="0"/>
    <xf numFmtId="43" fontId="7" fillId="0" borderId="0" applyFont="0" applyFill="0" applyBorder="0" applyAlignment="0" applyProtection="0"/>
    <xf numFmtId="164" fontId="59" fillId="0" borderId="0" applyFill="0" applyBorder="0" applyAlignment="0" applyProtection="0"/>
    <xf numFmtId="164" fontId="59" fillId="0" borderId="0" applyFill="0" applyBorder="0" applyAlignment="0" applyProtection="0"/>
    <xf numFmtId="164" fontId="59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0" fillId="0" borderId="0"/>
    <xf numFmtId="0" fontId="59" fillId="0" borderId="0"/>
    <xf numFmtId="0" fontId="59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3" fillId="0" borderId="0"/>
    <xf numFmtId="0" fontId="64" fillId="0" borderId="0"/>
    <xf numFmtId="0" fontId="4" fillId="0" borderId="0"/>
    <xf numFmtId="0" fontId="2" fillId="0" borderId="0"/>
    <xf numFmtId="0" fontId="73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2" fillId="0" borderId="0"/>
    <xf numFmtId="0" fontId="64" fillId="0" borderId="0"/>
    <xf numFmtId="0" fontId="62" fillId="0" borderId="0"/>
    <xf numFmtId="43" fontId="8" fillId="0" borderId="0" applyFont="0" applyFill="0" applyBorder="0" applyAlignment="0" applyProtection="0"/>
  </cellStyleXfs>
  <cellXfs count="1651">
    <xf numFmtId="0" fontId="0" fillId="0" borderId="0" xfId="0"/>
    <xf numFmtId="0" fontId="11" fillId="0" borderId="0" xfId="21" applyFont="1" applyFill="1"/>
    <xf numFmtId="0" fontId="12" fillId="0" borderId="2" xfId="21" applyFont="1" applyFill="1" applyBorder="1" applyAlignment="1" applyProtection="1">
      <alignment horizontal="left" vertical="center" wrapText="1" indent="1"/>
    </xf>
    <xf numFmtId="0" fontId="11" fillId="0" borderId="8" xfId="21" applyFont="1" applyFill="1" applyBorder="1" applyAlignment="1" applyProtection="1">
      <alignment horizontal="left" vertical="center" wrapText="1" indent="1"/>
    </xf>
    <xf numFmtId="0" fontId="11" fillId="0" borderId="11" xfId="21" applyFont="1" applyFill="1" applyBorder="1" applyAlignment="1" applyProtection="1">
      <alignment horizontal="left" vertical="center" wrapText="1" indent="1"/>
    </xf>
    <xf numFmtId="0" fontId="11" fillId="0" borderId="14" xfId="21" applyFont="1" applyFill="1" applyBorder="1" applyAlignment="1" applyProtection="1">
      <alignment horizontal="left" vertical="center" wrapText="1" indent="1"/>
    </xf>
    <xf numFmtId="0" fontId="11" fillId="0" borderId="16" xfId="21" applyFont="1" applyFill="1" applyBorder="1" applyAlignment="1" applyProtection="1">
      <alignment horizontal="left" vertical="center" wrapText="1" indent="1"/>
    </xf>
    <xf numFmtId="0" fontId="11" fillId="0" borderId="19" xfId="21" applyFont="1" applyFill="1" applyBorder="1" applyAlignment="1" applyProtection="1">
      <alignment horizontal="left" vertical="center" wrapText="1" indent="1"/>
    </xf>
    <xf numFmtId="0" fontId="16" fillId="0" borderId="2" xfId="21" applyFont="1" applyFill="1" applyBorder="1" applyAlignment="1" applyProtection="1">
      <alignment horizontal="left" vertical="center" wrapText="1" indent="1"/>
    </xf>
    <xf numFmtId="0" fontId="13" fillId="2" borderId="2" xfId="21" applyFont="1" applyFill="1" applyBorder="1" applyAlignment="1" applyProtection="1">
      <alignment vertical="center" wrapText="1"/>
    </xf>
    <xf numFmtId="0" fontId="12" fillId="0" borderId="2" xfId="21" applyFont="1" applyFill="1" applyBorder="1" applyAlignment="1" applyProtection="1">
      <alignment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12" fillId="0" borderId="29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2" fillId="0" borderId="0" xfId="0" applyNumberFormat="1" applyFont="1" applyFill="1" applyAlignment="1">
      <alignment horizontal="center" vertical="center" wrapText="1"/>
    </xf>
    <xf numFmtId="165" fontId="11" fillId="0" borderId="30" xfId="0" applyNumberFormat="1" applyFont="1" applyFill="1" applyBorder="1" applyAlignment="1">
      <alignment horizontal="left" vertical="center" wrapText="1" indent="1"/>
    </xf>
    <xf numFmtId="165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vertical="center" wrapText="1"/>
      <protection locked="0"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31" xfId="0" applyNumberFormat="1" applyFont="1" applyFill="1" applyBorder="1" applyAlignment="1">
      <alignment horizontal="left" vertical="center" wrapText="1" indent="1"/>
    </xf>
    <xf numFmtId="165" fontId="1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0" applyNumberFormat="1" applyFont="1" applyFill="1" applyBorder="1" applyAlignment="1" applyProtection="1">
      <alignment vertical="center" wrapText="1"/>
      <protection locked="0"/>
    </xf>
    <xf numFmtId="165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9" xfId="0" applyNumberFormat="1" applyFont="1" applyFill="1" applyBorder="1" applyAlignment="1" applyProtection="1">
      <alignment vertical="center" wrapText="1"/>
      <protection locked="0"/>
    </xf>
    <xf numFmtId="165" fontId="11" fillId="0" borderId="32" xfId="0" applyNumberFormat="1" applyFont="1" applyFill="1" applyBorder="1" applyAlignment="1" applyProtection="1">
      <alignment vertical="center" wrapText="1"/>
      <protection locked="0"/>
    </xf>
    <xf numFmtId="165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6" xfId="0" applyNumberFormat="1" applyFont="1" applyFill="1" applyBorder="1" applyAlignment="1" applyProtection="1">
      <alignment vertical="center" wrapText="1"/>
      <protection locked="0"/>
    </xf>
    <xf numFmtId="165" fontId="11" fillId="0" borderId="25" xfId="0" applyNumberFormat="1" applyFont="1" applyFill="1" applyBorder="1" applyAlignment="1" applyProtection="1">
      <alignment vertical="center" wrapText="1"/>
      <protection locked="0"/>
    </xf>
    <xf numFmtId="165" fontId="12" fillId="0" borderId="29" xfId="0" applyNumberFormat="1" applyFont="1" applyFill="1" applyBorder="1" applyAlignment="1">
      <alignment horizontal="left" vertical="center" wrapText="1" indent="1"/>
    </xf>
    <xf numFmtId="165" fontId="1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" xfId="0" applyNumberFormat="1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horizontal="left" vertical="center" wrapText="1" indent="1"/>
    </xf>
    <xf numFmtId="165" fontId="12" fillId="0" borderId="6" xfId="0" applyNumberFormat="1" applyFont="1" applyFill="1" applyBorder="1" applyAlignment="1" applyProtection="1">
      <alignment vertical="center" wrapText="1"/>
    </xf>
    <xf numFmtId="165" fontId="12" fillId="0" borderId="33" xfId="0" applyNumberFormat="1" applyFont="1" applyFill="1" applyBorder="1" applyAlignment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31" xfId="0" applyNumberFormat="1" applyFont="1" applyFill="1" applyBorder="1" applyAlignment="1">
      <alignment horizontal="left" vertical="center" wrapText="1" indent="1"/>
    </xf>
    <xf numFmtId="165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33" xfId="0" applyNumberFormat="1" applyFont="1" applyFill="1" applyBorder="1" applyAlignment="1">
      <alignment horizontal="lef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0" xfId="0" applyNumberFormat="1" applyFont="1" applyFill="1" applyAlignment="1">
      <alignment horizontal="center" vertical="center" wrapText="1"/>
    </xf>
    <xf numFmtId="165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29" xfId="0" applyNumberFormat="1" applyFont="1" applyFill="1" applyBorder="1" applyAlignment="1">
      <alignment horizontal="left" vertical="center" wrapText="1" indent="1"/>
    </xf>
    <xf numFmtId="165" fontId="13" fillId="0" borderId="1" xfId="0" applyNumberFormat="1" applyFont="1" applyFill="1" applyBorder="1" applyAlignment="1">
      <alignment horizontal="left" vertical="center" wrapText="1" indent="1"/>
    </xf>
    <xf numFmtId="165" fontId="13" fillId="0" borderId="2" xfId="0" applyNumberFormat="1" applyFont="1" applyFill="1" applyBorder="1" applyAlignment="1" applyProtection="1">
      <alignment vertical="center" wrapText="1"/>
    </xf>
    <xf numFmtId="165" fontId="13" fillId="0" borderId="6" xfId="0" applyNumberFormat="1" applyFont="1" applyFill="1" applyBorder="1" applyAlignment="1" applyProtection="1">
      <alignment vertical="center" wrapText="1"/>
    </xf>
    <xf numFmtId="165" fontId="13" fillId="0" borderId="2" xfId="0" applyNumberFormat="1" applyFont="1" applyFill="1" applyBorder="1" applyAlignment="1" applyProtection="1">
      <alignment horizontal="right" vertical="center" wrapText="1"/>
    </xf>
    <xf numFmtId="165" fontId="13" fillId="0" borderId="6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Fill="1" applyAlignment="1">
      <alignment vertical="center" wrapText="1"/>
    </xf>
    <xf numFmtId="165" fontId="23" fillId="0" borderId="0" xfId="0" applyNumberFormat="1" applyFont="1" applyFill="1" applyAlignment="1">
      <alignment horizontal="left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5" fontId="11" fillId="0" borderId="30" xfId="0" applyNumberFormat="1" applyFont="1" applyFill="1" applyBorder="1" applyAlignment="1">
      <alignment horizontal="right" vertical="center" wrapText="1" indent="1"/>
    </xf>
    <xf numFmtId="165" fontId="11" fillId="0" borderId="31" xfId="0" applyNumberFormat="1" applyFont="1" applyFill="1" applyBorder="1" applyAlignment="1">
      <alignment horizontal="right" vertical="center" wrapText="1" indent="1"/>
    </xf>
    <xf numFmtId="165" fontId="12" fillId="0" borderId="29" xfId="0" applyNumberFormat="1" applyFont="1" applyFill="1" applyBorder="1" applyAlignment="1">
      <alignment horizontal="right" vertical="center" wrapText="1" indent="1"/>
    </xf>
    <xf numFmtId="165" fontId="12" fillId="0" borderId="30" xfId="0" applyNumberFormat="1" applyFont="1" applyFill="1" applyBorder="1" applyAlignment="1">
      <alignment horizontal="right" vertical="center" wrapText="1" indent="1"/>
    </xf>
    <xf numFmtId="165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6" xfId="0" applyNumberFormat="1" applyFont="1" applyFill="1" applyBorder="1" applyAlignment="1" applyProtection="1">
      <alignment vertical="center" wrapText="1"/>
    </xf>
    <xf numFmtId="165" fontId="13" fillId="0" borderId="29" xfId="0" applyNumberFormat="1" applyFont="1" applyFill="1" applyBorder="1" applyAlignment="1">
      <alignment horizontal="right" vertical="center" wrapText="1" indent="1"/>
    </xf>
    <xf numFmtId="165" fontId="13" fillId="0" borderId="2" xfId="0" applyNumberFormat="1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vertical="center" wrapText="1"/>
    </xf>
    <xf numFmtId="165" fontId="13" fillId="0" borderId="15" xfId="0" applyNumberFormat="1" applyFont="1" applyFill="1" applyBorder="1" applyAlignment="1">
      <alignment horizontal="left" vertical="center" wrapText="1" indent="1"/>
    </xf>
    <xf numFmtId="165" fontId="13" fillId="0" borderId="16" xfId="0" applyNumberFormat="1" applyFont="1" applyFill="1" applyBorder="1" applyAlignment="1" applyProtection="1">
      <alignment horizontal="right" vertical="center" wrapText="1"/>
    </xf>
    <xf numFmtId="165" fontId="13" fillId="0" borderId="27" xfId="0" applyNumberFormat="1" applyFont="1" applyFill="1" applyBorder="1" applyAlignment="1" applyProtection="1">
      <alignment horizontal="right" vertical="center" wrapText="1"/>
    </xf>
    <xf numFmtId="165" fontId="20" fillId="0" borderId="0" xfId="0" applyNumberFormat="1" applyFont="1" applyFill="1" applyAlignment="1">
      <alignment textRotation="180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65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0" fontId="21" fillId="0" borderId="0" xfId="0" applyFont="1" applyFill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>
      <alignment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</xf>
    <xf numFmtId="49" fontId="11" fillId="0" borderId="26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1" xfId="21" applyNumberFormat="1" applyFont="1" applyFill="1" applyBorder="1" applyAlignment="1" applyProtection="1">
      <alignment horizontal="left" vertical="center" wrapText="1" indent="1"/>
    </xf>
    <xf numFmtId="49" fontId="11" fillId="0" borderId="8" xfId="21" applyNumberFormat="1" applyFont="1" applyFill="1" applyBorder="1" applyAlignment="1" applyProtection="1">
      <alignment horizontal="left" vertical="center" wrapText="1" indent="1"/>
    </xf>
    <xf numFmtId="3" fontId="11" fillId="0" borderId="0" xfId="0" applyNumberFormat="1" applyFont="1" applyFill="1" applyAlignment="1">
      <alignment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49" fontId="11" fillId="0" borderId="23" xfId="2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2" xfId="21" applyNumberFormat="1" applyFont="1" applyFill="1" applyBorder="1" applyAlignment="1" applyProtection="1">
      <alignment horizontal="left" vertical="center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wrapText="1"/>
    </xf>
    <xf numFmtId="49" fontId="11" fillId="0" borderId="26" xfId="21" applyNumberFormat="1" applyFont="1" applyFill="1" applyBorder="1" applyAlignment="1" applyProtection="1">
      <alignment horizontal="left" vertical="center" wrapText="1" indent="1"/>
    </xf>
    <xf numFmtId="3" fontId="12" fillId="0" borderId="6" xfId="0" applyNumberFormat="1" applyFont="1" applyFill="1" applyBorder="1" applyAlignment="1" applyProtection="1">
      <alignment vertical="center" wrapText="1"/>
      <protection locked="0"/>
    </xf>
    <xf numFmtId="0" fontId="26" fillId="0" borderId="2" xfId="10" applyFont="1" applyBorder="1"/>
    <xf numFmtId="0" fontId="24" fillId="0" borderId="43" xfId="0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49" fontId="11" fillId="0" borderId="19" xfId="21" applyNumberFormat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49" fontId="11" fillId="0" borderId="14" xfId="21" applyNumberFormat="1" applyFont="1" applyFill="1" applyBorder="1" applyAlignment="1" applyProtection="1">
      <alignment horizontal="left" vertical="center" wrapText="1" indent="1"/>
    </xf>
    <xf numFmtId="167" fontId="0" fillId="0" borderId="0" xfId="0" applyNumberFormat="1" applyFill="1" applyAlignment="1">
      <alignment vertical="center" wrapText="1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23" xfId="21" applyFont="1" applyFill="1" applyBorder="1" applyAlignment="1" applyProtection="1">
      <alignment horizontal="left" vertical="center" wrapText="1" indent="1"/>
    </xf>
    <xf numFmtId="49" fontId="11" fillId="0" borderId="2" xfId="21" applyNumberFormat="1" applyFont="1" applyFill="1" applyBorder="1" applyAlignment="1" applyProtection="1">
      <alignment horizontal="left" vertical="center" wrapText="1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/>
    </xf>
    <xf numFmtId="0" fontId="11" fillId="0" borderId="43" xfId="0" applyFont="1" applyFill="1" applyBorder="1" applyAlignment="1" applyProtection="1">
      <alignment vertical="center" wrapText="1"/>
    </xf>
    <xf numFmtId="0" fontId="12" fillId="0" borderId="39" xfId="0" applyFont="1" applyFill="1" applyBorder="1" applyAlignment="1" applyProtection="1">
      <alignment vertical="center" wrapText="1"/>
    </xf>
    <xf numFmtId="4" fontId="1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</xf>
    <xf numFmtId="3" fontId="25" fillId="0" borderId="38" xfId="0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3" fontId="12" fillId="0" borderId="6" xfId="0" applyNumberFormat="1" applyFont="1" applyFill="1" applyBorder="1" applyAlignment="1" applyProtection="1">
      <alignment vertical="center" wrapText="1"/>
    </xf>
    <xf numFmtId="3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24" xfId="0" applyNumberFormat="1" applyFont="1" applyFill="1" applyBorder="1" applyAlignment="1" applyProtection="1">
      <alignment vertical="center" wrapText="1"/>
      <protection locked="0"/>
    </xf>
    <xf numFmtId="3" fontId="11" fillId="0" borderId="12" xfId="0" applyNumberFormat="1" applyFont="1" applyFill="1" applyBorder="1" applyAlignment="1" applyProtection="1">
      <alignment vertical="center" wrapText="1"/>
      <protection locked="0"/>
    </xf>
    <xf numFmtId="3" fontId="11" fillId="0" borderId="25" xfId="0" applyNumberFormat="1" applyFont="1" applyFill="1" applyBorder="1" applyAlignment="1" applyProtection="1">
      <alignment vertical="center" wrapText="1"/>
      <protection locked="0"/>
    </xf>
    <xf numFmtId="3" fontId="11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40" xfId="0" applyNumberFormat="1" applyFont="1" applyFill="1" applyBorder="1" applyAlignment="1" applyProtection="1">
      <alignment vertical="center" wrapText="1"/>
    </xf>
    <xf numFmtId="3" fontId="11" fillId="0" borderId="41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3" fontId="13" fillId="2" borderId="6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 indent="1"/>
    </xf>
    <xf numFmtId="165" fontId="12" fillId="0" borderId="0" xfId="0" applyNumberFormat="1" applyFont="1" applyFill="1" applyBorder="1" applyAlignment="1" applyProtection="1">
      <alignment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11" fillId="0" borderId="8" xfId="21" applyFont="1" applyFill="1" applyBorder="1" applyAlignment="1" applyProtection="1">
      <alignment horizontal="left" vertical="center" wrapText="1" indent="3"/>
    </xf>
    <xf numFmtId="3" fontId="15" fillId="0" borderId="17" xfId="0" applyNumberFormat="1" applyFont="1" applyFill="1" applyBorder="1" applyAlignment="1" applyProtection="1">
      <alignment vertical="center" wrapText="1"/>
      <protection locked="0"/>
    </xf>
    <xf numFmtId="0" fontId="15" fillId="0" borderId="8" xfId="21" applyFont="1" applyFill="1" applyBorder="1" applyAlignment="1" applyProtection="1">
      <alignment horizontal="left" indent="4"/>
    </xf>
    <xf numFmtId="3" fontId="15" fillId="0" borderId="9" xfId="0" applyNumberFormat="1" applyFont="1" applyFill="1" applyBorder="1" applyAlignment="1" applyProtection="1">
      <alignment vertical="center" wrapText="1"/>
      <protection locked="0"/>
    </xf>
    <xf numFmtId="0" fontId="15" fillId="0" borderId="26" xfId="21" applyFont="1" applyFill="1" applyBorder="1" applyAlignment="1" applyProtection="1">
      <alignment horizontal="left" indent="4"/>
    </xf>
    <xf numFmtId="3" fontId="15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8" fontId="1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0"/>
    <xf numFmtId="49" fontId="7" fillId="0" borderId="0" xfId="10" applyNumberFormat="1"/>
    <xf numFmtId="0" fontId="31" fillId="0" borderId="26" xfId="1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26" fillId="0" borderId="32" xfId="10" applyFont="1" applyBorder="1"/>
    <xf numFmtId="49" fontId="26" fillId="0" borderId="35" xfId="10" applyNumberFormat="1" applyFont="1" applyBorder="1"/>
    <xf numFmtId="49" fontId="26" fillId="0" borderId="45" xfId="10" applyNumberFormat="1" applyFont="1" applyBorder="1"/>
    <xf numFmtId="0" fontId="32" fillId="0" borderId="8" xfId="10" applyFont="1" applyBorder="1" applyAlignment="1">
      <alignment horizontal="center"/>
    </xf>
    <xf numFmtId="3" fontId="26" fillId="0" borderId="19" xfId="10" applyNumberFormat="1" applyFont="1" applyBorder="1"/>
    <xf numFmtId="3" fontId="17" fillId="2" borderId="19" xfId="10" applyNumberFormat="1" applyFont="1" applyFill="1" applyBorder="1"/>
    <xf numFmtId="0" fontId="33" fillId="0" borderId="32" xfId="10" applyFont="1" applyBorder="1"/>
    <xf numFmtId="49" fontId="17" fillId="0" borderId="35" xfId="10" applyNumberFormat="1" applyFont="1" applyBorder="1"/>
    <xf numFmtId="49" fontId="17" fillId="0" borderId="45" xfId="10" applyNumberFormat="1" applyFont="1" applyBorder="1"/>
    <xf numFmtId="0" fontId="17" fillId="0" borderId="8" xfId="10" applyFont="1" applyBorder="1"/>
    <xf numFmtId="3" fontId="17" fillId="0" borderId="8" xfId="10" applyNumberFormat="1" applyFont="1" applyBorder="1"/>
    <xf numFmtId="0" fontId="34" fillId="0" borderId="0" xfId="10" applyFont="1"/>
    <xf numFmtId="0" fontId="35" fillId="0" borderId="32" xfId="10" applyFont="1" applyBorder="1"/>
    <xf numFmtId="49" fontId="27" fillId="0" borderId="35" xfId="10" applyNumberFormat="1" applyFont="1" applyBorder="1"/>
    <xf numFmtId="49" fontId="27" fillId="0" borderId="45" xfId="10" applyNumberFormat="1" applyFont="1" applyBorder="1"/>
    <xf numFmtId="0" fontId="27" fillId="0" borderId="8" xfId="10" applyFont="1" applyBorder="1"/>
    <xf numFmtId="3" fontId="27" fillId="0" borderId="8" xfId="10" applyNumberFormat="1" applyFont="1" applyBorder="1"/>
    <xf numFmtId="0" fontId="36" fillId="0" borderId="0" xfId="10" applyFont="1"/>
    <xf numFmtId="0" fontId="37" fillId="0" borderId="32" xfId="10" applyFont="1" applyBorder="1"/>
    <xf numFmtId="0" fontId="37" fillId="0" borderId="8" xfId="10" applyFont="1" applyBorder="1"/>
    <xf numFmtId="3" fontId="37" fillId="0" borderId="8" xfId="10" applyNumberFormat="1" applyFont="1" applyBorder="1"/>
    <xf numFmtId="0" fontId="38" fillId="0" borderId="0" xfId="10" applyFont="1"/>
    <xf numFmtId="49" fontId="39" fillId="0" borderId="45" xfId="10" applyNumberFormat="1" applyFont="1" applyBorder="1" applyAlignment="1">
      <alignment horizontal="left"/>
    </xf>
    <xf numFmtId="0" fontId="35" fillId="0" borderId="8" xfId="10" applyFont="1" applyBorder="1"/>
    <xf numFmtId="3" fontId="35" fillId="0" borderId="8" xfId="10" applyNumberFormat="1" applyFont="1" applyBorder="1"/>
    <xf numFmtId="0" fontId="7" fillId="0" borderId="0" xfId="10" applyFont="1"/>
    <xf numFmtId="49" fontId="35" fillId="0" borderId="35" xfId="10" applyNumberFormat="1" applyFont="1" applyBorder="1"/>
    <xf numFmtId="49" fontId="40" fillId="0" borderId="45" xfId="10" applyNumberFormat="1" applyFont="1" applyBorder="1"/>
    <xf numFmtId="49" fontId="39" fillId="0" borderId="45" xfId="10" applyNumberFormat="1" applyFont="1" applyBorder="1"/>
    <xf numFmtId="49" fontId="39" fillId="0" borderId="35" xfId="10" applyNumberFormat="1" applyFont="1" applyBorder="1" applyAlignment="1">
      <alignment horizontal="left"/>
    </xf>
    <xf numFmtId="3" fontId="37" fillId="0" borderId="46" xfId="10" applyNumberFormat="1" applyFont="1" applyBorder="1"/>
    <xf numFmtId="0" fontId="37" fillId="0" borderId="19" xfId="10" applyFont="1" applyBorder="1"/>
    <xf numFmtId="0" fontId="37" fillId="0" borderId="8" xfId="10" applyFont="1" applyBorder="1" applyAlignment="1">
      <alignment horizontal="left" indent="3"/>
    </xf>
    <xf numFmtId="3" fontId="17" fillId="4" borderId="19" xfId="10" applyNumberFormat="1" applyFont="1" applyFill="1" applyBorder="1"/>
    <xf numFmtId="49" fontId="17" fillId="0" borderId="35" xfId="10" applyNumberFormat="1" applyFont="1" applyBorder="1" applyAlignment="1">
      <alignment vertical="center"/>
    </xf>
    <xf numFmtId="0" fontId="17" fillId="0" borderId="8" xfId="10" applyFont="1" applyBorder="1" applyAlignment="1">
      <alignment wrapText="1"/>
    </xf>
    <xf numFmtId="167" fontId="35" fillId="0" borderId="32" xfId="10" applyNumberFormat="1" applyFont="1" applyBorder="1"/>
    <xf numFmtId="0" fontId="7" fillId="0" borderId="0" xfId="10" applyFill="1"/>
    <xf numFmtId="0" fontId="17" fillId="2" borderId="32" xfId="10" applyFont="1" applyFill="1" applyBorder="1"/>
    <xf numFmtId="49" fontId="17" fillId="2" borderId="35" xfId="10" applyNumberFormat="1" applyFont="1" applyFill="1" applyBorder="1"/>
    <xf numFmtId="49" fontId="17" fillId="2" borderId="45" xfId="10" applyNumberFormat="1" applyFont="1" applyFill="1" applyBorder="1"/>
    <xf numFmtId="0" fontId="17" fillId="2" borderId="8" xfId="10" applyFont="1" applyFill="1" applyBorder="1"/>
    <xf numFmtId="3" fontId="17" fillId="2" borderId="8" xfId="10" applyNumberFormat="1" applyFont="1" applyFill="1" applyBorder="1"/>
    <xf numFmtId="167" fontId="33" fillId="0" borderId="32" xfId="10" applyNumberFormat="1" applyFont="1" applyBorder="1"/>
    <xf numFmtId="3" fontId="7" fillId="0" borderId="0" xfId="10" applyNumberFormat="1"/>
    <xf numFmtId="0" fontId="43" fillId="2" borderId="32" xfId="10" applyFont="1" applyFill="1" applyBorder="1"/>
    <xf numFmtId="49" fontId="43" fillId="2" borderId="35" xfId="10" applyNumberFormat="1" applyFont="1" applyFill="1" applyBorder="1"/>
    <xf numFmtId="49" fontId="43" fillId="2" borderId="45" xfId="10" applyNumberFormat="1" applyFont="1" applyFill="1" applyBorder="1"/>
    <xf numFmtId="0" fontId="32" fillId="2" borderId="8" xfId="10" applyFont="1" applyFill="1" applyBorder="1"/>
    <xf numFmtId="3" fontId="32" fillId="2" borderId="8" xfId="10" applyNumberFormat="1" applyFont="1" applyFill="1" applyBorder="1"/>
    <xf numFmtId="3" fontId="32" fillId="3" borderId="8" xfId="10" applyNumberFormat="1" applyFont="1" applyFill="1" applyBorder="1"/>
    <xf numFmtId="3" fontId="32" fillId="4" borderId="45" xfId="10" applyNumberFormat="1" applyFont="1" applyFill="1" applyBorder="1" applyAlignment="1">
      <alignment vertical="center"/>
    </xf>
    <xf numFmtId="0" fontId="31" fillId="0" borderId="8" xfId="10" applyFont="1" applyBorder="1" applyAlignment="1">
      <alignment horizontal="center" vertical="center" wrapText="1"/>
    </xf>
    <xf numFmtId="0" fontId="44" fillId="0" borderId="0" xfId="10" applyFont="1" applyBorder="1" applyAlignment="1">
      <alignment horizontal="center"/>
    </xf>
    <xf numFmtId="3" fontId="17" fillId="2" borderId="45" xfId="10" applyNumberFormat="1" applyFont="1" applyFill="1" applyBorder="1" applyAlignment="1">
      <alignment horizontal="center"/>
    </xf>
    <xf numFmtId="3" fontId="17" fillId="2" borderId="0" xfId="10" applyNumberFormat="1" applyFont="1" applyFill="1" applyBorder="1"/>
    <xf numFmtId="0" fontId="37" fillId="0" borderId="47" xfId="10" applyFont="1" applyBorder="1"/>
    <xf numFmtId="49" fontId="26" fillId="0" borderId="48" xfId="10" applyNumberFormat="1" applyFont="1" applyBorder="1"/>
    <xf numFmtId="49" fontId="26" fillId="0" borderId="49" xfId="10" applyNumberFormat="1" applyFont="1" applyBorder="1"/>
    <xf numFmtId="0" fontId="26" fillId="0" borderId="19" xfId="10" applyFont="1" applyBorder="1"/>
    <xf numFmtId="49" fontId="37" fillId="0" borderId="48" xfId="10" applyNumberFormat="1" applyFont="1" applyBorder="1"/>
    <xf numFmtId="49" fontId="37" fillId="0" borderId="49" xfId="10" applyNumberFormat="1" applyFont="1" applyBorder="1"/>
    <xf numFmtId="3" fontId="37" fillId="0" borderId="19" xfId="10" applyNumberFormat="1" applyFont="1" applyBorder="1"/>
    <xf numFmtId="3" fontId="7" fillId="0" borderId="0" xfId="10" applyNumberFormat="1" applyFont="1"/>
    <xf numFmtId="0" fontId="26" fillId="0" borderId="8" xfId="10" applyFont="1" applyBorder="1"/>
    <xf numFmtId="3" fontId="26" fillId="0" borderId="8" xfId="10" applyNumberFormat="1" applyFont="1" applyBorder="1"/>
    <xf numFmtId="0" fontId="35" fillId="0" borderId="32" xfId="10" applyFont="1" applyFill="1" applyBorder="1"/>
    <xf numFmtId="49" fontId="27" fillId="0" borderId="35" xfId="10" applyNumberFormat="1" applyFont="1" applyFill="1" applyBorder="1"/>
    <xf numFmtId="49" fontId="37" fillId="0" borderId="49" xfId="10" applyNumberFormat="1" applyFont="1" applyFill="1" applyBorder="1"/>
    <xf numFmtId="0" fontId="37" fillId="0" borderId="19" xfId="10" applyFont="1" applyFill="1" applyBorder="1"/>
    <xf numFmtId="3" fontId="37" fillId="0" borderId="19" xfId="10" applyNumberFormat="1" applyFont="1" applyFill="1" applyBorder="1"/>
    <xf numFmtId="3" fontId="36" fillId="0" borderId="0" xfId="10" applyNumberFormat="1" applyFont="1"/>
    <xf numFmtId="49" fontId="37" fillId="0" borderId="35" xfId="10" applyNumberFormat="1" applyFont="1" applyBorder="1"/>
    <xf numFmtId="49" fontId="37" fillId="0" borderId="45" xfId="10" applyNumberFormat="1" applyFont="1" applyBorder="1"/>
    <xf numFmtId="49" fontId="35" fillId="0" borderId="45" xfId="10" applyNumberFormat="1" applyFont="1" applyBorder="1"/>
    <xf numFmtId="0" fontId="20" fillId="0" borderId="8" xfId="10" applyFont="1" applyFill="1" applyBorder="1" applyAlignment="1">
      <alignment horizontal="left" vertical="center" wrapText="1"/>
    </xf>
    <xf numFmtId="3" fontId="35" fillId="0" borderId="8" xfId="10" applyNumberFormat="1" applyFont="1" applyFill="1" applyBorder="1"/>
    <xf numFmtId="3" fontId="37" fillId="0" borderId="8" xfId="10" applyNumberFormat="1" applyFont="1" applyFill="1" applyBorder="1"/>
    <xf numFmtId="0" fontId="37" fillId="0" borderId="8" xfId="10" applyFont="1" applyFill="1" applyBorder="1" applyAlignment="1">
      <alignment vertical="center" wrapText="1"/>
    </xf>
    <xf numFmtId="0" fontId="45" fillId="0" borderId="0" xfId="10" applyFont="1"/>
    <xf numFmtId="3" fontId="45" fillId="0" borderId="0" xfId="10" applyNumberFormat="1" applyFont="1"/>
    <xf numFmtId="0" fontId="26" fillId="3" borderId="32" xfId="10" applyFont="1" applyFill="1" applyBorder="1"/>
    <xf numFmtId="49" fontId="26" fillId="3" borderId="35" xfId="10" applyNumberFormat="1" applyFont="1" applyFill="1" applyBorder="1"/>
    <xf numFmtId="49" fontId="37" fillId="3" borderId="45" xfId="10" applyNumberFormat="1" applyFont="1" applyFill="1" applyBorder="1"/>
    <xf numFmtId="0" fontId="37" fillId="3" borderId="8" xfId="10" applyFont="1" applyFill="1" applyBorder="1" applyAlignment="1">
      <alignment vertical="center" wrapText="1"/>
    </xf>
    <xf numFmtId="3" fontId="37" fillId="3" borderId="8" xfId="10" applyNumberFormat="1" applyFont="1" applyFill="1" applyBorder="1"/>
    <xf numFmtId="0" fontId="45" fillId="3" borderId="0" xfId="10" applyFont="1" applyFill="1"/>
    <xf numFmtId="3" fontId="45" fillId="3" borderId="0" xfId="10" applyNumberFormat="1" applyFont="1" applyFill="1"/>
    <xf numFmtId="0" fontId="26" fillId="0" borderId="32" xfId="10" applyFont="1" applyFill="1" applyBorder="1"/>
    <xf numFmtId="49" fontId="26" fillId="0" borderId="35" xfId="10" applyNumberFormat="1" applyFont="1" applyFill="1" applyBorder="1"/>
    <xf numFmtId="49" fontId="37" fillId="0" borderId="45" xfId="10" applyNumberFormat="1" applyFont="1" applyFill="1" applyBorder="1"/>
    <xf numFmtId="0" fontId="0" fillId="0" borderId="8" xfId="10" applyFont="1" applyFill="1" applyBorder="1" applyAlignment="1">
      <alignment horizontal="left" vertical="center" wrapText="1"/>
    </xf>
    <xf numFmtId="0" fontId="11" fillId="0" borderId="8" xfId="10" applyFont="1" applyFill="1" applyBorder="1" applyAlignment="1">
      <alignment horizontal="justify" vertical="center" wrapText="1"/>
    </xf>
    <xf numFmtId="0" fontId="26" fillId="0" borderId="50" xfId="10" applyFont="1" applyBorder="1"/>
    <xf numFmtId="49" fontId="26" fillId="0" borderId="37" xfId="10" applyNumberFormat="1" applyFont="1" applyBorder="1"/>
    <xf numFmtId="0" fontId="11" fillId="0" borderId="26" xfId="10" applyFont="1" applyFill="1" applyBorder="1" applyAlignment="1">
      <alignment vertical="center" wrapText="1"/>
    </xf>
    <xf numFmtId="3" fontId="37" fillId="0" borderId="26" xfId="10" applyNumberFormat="1" applyFont="1" applyBorder="1"/>
    <xf numFmtId="0" fontId="11" fillId="0" borderId="26" xfId="10" applyFont="1" applyFill="1" applyBorder="1" applyAlignment="1">
      <alignment horizontal="justify" vertical="center" wrapText="1"/>
    </xf>
    <xf numFmtId="0" fontId="20" fillId="0" borderId="8" xfId="10" applyFont="1" applyFill="1" applyBorder="1" applyAlignment="1">
      <alignment horizontal="left" vertical="center" wrapText="1" indent="2"/>
    </xf>
    <xf numFmtId="3" fontId="35" fillId="0" borderId="26" xfId="10" applyNumberFormat="1" applyFont="1" applyBorder="1"/>
    <xf numFmtId="49" fontId="26" fillId="0" borderId="51" xfId="10" applyNumberFormat="1" applyFont="1" applyBorder="1"/>
    <xf numFmtId="0" fontId="12" fillId="0" borderId="26" xfId="10" applyFont="1" applyFill="1" applyBorder="1" applyAlignment="1">
      <alignment vertical="center" wrapText="1"/>
    </xf>
    <xf numFmtId="3" fontId="26" fillId="0" borderId="26" xfId="10" applyNumberFormat="1" applyFont="1" applyBorder="1"/>
    <xf numFmtId="49" fontId="37" fillId="0" borderId="51" xfId="10" applyNumberFormat="1" applyFont="1" applyBorder="1"/>
    <xf numFmtId="0" fontId="15" fillId="3" borderId="26" xfId="10" applyFont="1" applyFill="1" applyBorder="1" applyAlignment="1">
      <alignment vertical="center" wrapText="1"/>
    </xf>
    <xf numFmtId="3" fontId="35" fillId="3" borderId="26" xfId="10" applyNumberFormat="1" applyFont="1" applyFill="1" applyBorder="1"/>
    <xf numFmtId="0" fontId="37" fillId="0" borderId="32" xfId="10" applyFont="1" applyFill="1" applyBorder="1"/>
    <xf numFmtId="49" fontId="26" fillId="0" borderId="45" xfId="10" applyNumberFormat="1" applyFont="1" applyFill="1" applyBorder="1"/>
    <xf numFmtId="0" fontId="26" fillId="0" borderId="8" xfId="10" applyFont="1" applyFill="1" applyBorder="1"/>
    <xf numFmtId="3" fontId="26" fillId="0" borderId="8" xfId="10" applyNumberFormat="1" applyFont="1" applyFill="1" applyBorder="1"/>
    <xf numFmtId="3" fontId="17" fillId="4" borderId="8" xfId="10" applyNumberFormat="1" applyFont="1" applyFill="1" applyBorder="1"/>
    <xf numFmtId="0" fontId="17" fillId="0" borderId="0" xfId="10" applyFont="1" applyFill="1" applyBorder="1" applyAlignment="1"/>
    <xf numFmtId="0" fontId="7" fillId="0" borderId="0" xfId="10" applyFill="1" applyBorder="1" applyAlignment="1"/>
    <xf numFmtId="3" fontId="17" fillId="0" borderId="0" xfId="10" applyNumberFormat="1" applyFont="1" applyFill="1" applyBorder="1"/>
    <xf numFmtId="3" fontId="17" fillId="2" borderId="49" xfId="10" applyNumberFormat="1" applyFont="1" applyFill="1" applyBorder="1" applyAlignment="1">
      <alignment horizontal="center"/>
    </xf>
    <xf numFmtId="167" fontId="33" fillId="0" borderId="50" xfId="10" applyNumberFormat="1" applyFont="1" applyBorder="1"/>
    <xf numFmtId="49" fontId="17" fillId="0" borderId="37" xfId="10" applyNumberFormat="1" applyFont="1" applyBorder="1"/>
    <xf numFmtId="49" fontId="17" fillId="0" borderId="51" xfId="10" applyNumberFormat="1" applyFont="1" applyBorder="1"/>
    <xf numFmtId="3" fontId="17" fillId="0" borderId="26" xfId="10" applyNumberFormat="1" applyFont="1" applyBorder="1"/>
    <xf numFmtId="167" fontId="33" fillId="3" borderId="32" xfId="10" applyNumberFormat="1" applyFont="1" applyFill="1" applyBorder="1"/>
    <xf numFmtId="49" fontId="17" fillId="3" borderId="35" xfId="10" applyNumberFormat="1" applyFont="1" applyFill="1" applyBorder="1"/>
    <xf numFmtId="49" fontId="17" fillId="3" borderId="45" xfId="10" applyNumberFormat="1" applyFont="1" applyFill="1" applyBorder="1"/>
    <xf numFmtId="0" fontId="17" fillId="3" borderId="8" xfId="10" applyFont="1" applyFill="1" applyBorder="1"/>
    <xf numFmtId="3" fontId="17" fillId="3" borderId="8" xfId="10" applyNumberFormat="1" applyFont="1" applyFill="1" applyBorder="1"/>
    <xf numFmtId="0" fontId="26" fillId="3" borderId="8" xfId="10" applyFont="1" applyFill="1" applyBorder="1"/>
    <xf numFmtId="3" fontId="26" fillId="3" borderId="8" xfId="10" applyNumberFormat="1" applyFont="1" applyFill="1" applyBorder="1"/>
    <xf numFmtId="3" fontId="37" fillId="3" borderId="19" xfId="10" applyNumberFormat="1" applyFont="1" applyFill="1" applyBorder="1"/>
    <xf numFmtId="3" fontId="17" fillId="2" borderId="35" xfId="10" applyNumberFormat="1" applyFont="1" applyFill="1" applyBorder="1" applyAlignment="1">
      <alignment horizontal="center"/>
    </xf>
    <xf numFmtId="168" fontId="26" fillId="0" borderId="8" xfId="10" applyNumberFormat="1" applyFont="1" applyBorder="1" applyAlignment="1">
      <alignment horizontal="center"/>
    </xf>
    <xf numFmtId="0" fontId="26" fillId="0" borderId="47" xfId="10" applyFont="1" applyBorder="1"/>
    <xf numFmtId="0" fontId="26" fillId="0" borderId="19" xfId="10" applyFont="1" applyBorder="1" applyAlignment="1">
      <alignment wrapText="1"/>
    </xf>
    <xf numFmtId="3" fontId="26" fillId="0" borderId="46" xfId="10" applyNumberFormat="1" applyFont="1" applyBorder="1"/>
    <xf numFmtId="49" fontId="7" fillId="0" borderId="0" xfId="10" applyNumberFormat="1" applyBorder="1"/>
    <xf numFmtId="3" fontId="26" fillId="0" borderId="8" xfId="10" applyNumberFormat="1" applyFont="1" applyBorder="1" applyAlignment="1">
      <alignment horizontal="center"/>
    </xf>
    <xf numFmtId="3" fontId="26" fillId="0" borderId="8" xfId="10" applyNumberFormat="1" applyFont="1" applyBorder="1" applyAlignment="1">
      <alignment horizontal="right"/>
    </xf>
    <xf numFmtId="3" fontId="26" fillId="0" borderId="46" xfId="10" applyNumberFormat="1" applyFont="1" applyBorder="1" applyAlignment="1">
      <alignment horizontal="center"/>
    </xf>
    <xf numFmtId="0" fontId="26" fillId="0" borderId="8" xfId="10" applyFont="1" applyBorder="1" applyAlignment="1">
      <alignment horizontal="left" wrapText="1"/>
    </xf>
    <xf numFmtId="1" fontId="7" fillId="0" borderId="0" xfId="10" applyNumberFormat="1"/>
    <xf numFmtId="0" fontId="46" fillId="0" borderId="0" xfId="10" applyFont="1"/>
    <xf numFmtId="0" fontId="46" fillId="0" borderId="0" xfId="10" applyFont="1" applyAlignment="1">
      <alignment horizontal="center"/>
    </xf>
    <xf numFmtId="3" fontId="46" fillId="0" borderId="0" xfId="10" applyNumberFormat="1" applyFont="1"/>
    <xf numFmtId="1" fontId="46" fillId="0" borderId="0" xfId="10" applyNumberFormat="1" applyFont="1"/>
    <xf numFmtId="3" fontId="31" fillId="2" borderId="8" xfId="10" applyNumberFormat="1" applyFont="1" applyFill="1" applyBorder="1"/>
    <xf numFmtId="168" fontId="7" fillId="0" borderId="0" xfId="10" applyNumberFormat="1"/>
    <xf numFmtId="0" fontId="43" fillId="3" borderId="32" xfId="10" applyFont="1" applyFill="1" applyBorder="1"/>
    <xf numFmtId="0" fontId="7" fillId="0" borderId="0" xfId="10" applyBorder="1"/>
    <xf numFmtId="0" fontId="32" fillId="4" borderId="32" xfId="10" applyFont="1" applyFill="1" applyBorder="1"/>
    <xf numFmtId="49" fontId="17" fillId="4" borderId="35" xfId="10" applyNumberFormat="1" applyFont="1" applyFill="1" applyBorder="1"/>
    <xf numFmtId="49" fontId="17" fillId="4" borderId="45" xfId="10" applyNumberFormat="1" applyFont="1" applyFill="1" applyBorder="1"/>
    <xf numFmtId="0" fontId="17" fillId="4" borderId="8" xfId="10" applyFont="1" applyFill="1" applyBorder="1"/>
    <xf numFmtId="3" fontId="17" fillId="4" borderId="45" xfId="10" applyNumberFormat="1" applyFont="1" applyFill="1" applyBorder="1"/>
    <xf numFmtId="165" fontId="10" fillId="0" borderId="0" xfId="0" applyNumberFormat="1" applyFont="1" applyFill="1" applyAlignment="1" applyProtection="1">
      <alignment horizontal="left" vertical="center" wrapText="1"/>
    </xf>
    <xf numFmtId="165" fontId="10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vertical="center" wrapText="1"/>
      <protection locked="0"/>
    </xf>
    <xf numFmtId="165" fontId="10" fillId="0" borderId="0" xfId="0" applyNumberFormat="1" applyFont="1" applyFill="1" applyAlignment="1">
      <alignment vertical="center" wrapText="1"/>
    </xf>
    <xf numFmtId="49" fontId="13" fillId="0" borderId="44" xfId="0" applyNumberFormat="1" applyFont="1" applyFill="1" applyBorder="1" applyAlignment="1" applyProtection="1">
      <alignment horizontal="right" vertical="center"/>
      <protection locked="0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165" fontId="13" fillId="2" borderId="4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Alignment="1">
      <alignment vertical="center" wrapText="1"/>
    </xf>
    <xf numFmtId="3" fontId="11" fillId="0" borderId="6" xfId="0" applyNumberFormat="1" applyFont="1" applyFill="1" applyBorder="1" applyAlignment="1" applyProtection="1">
      <alignment vertical="center" wrapText="1"/>
      <protection locked="0"/>
    </xf>
    <xf numFmtId="3" fontId="12" fillId="0" borderId="44" xfId="0" applyNumberFormat="1" applyFont="1" applyFill="1" applyBorder="1" applyAlignment="1" applyProtection="1">
      <alignment vertical="center" wrapText="1"/>
    </xf>
    <xf numFmtId="0" fontId="48" fillId="2" borderId="39" xfId="0" applyFont="1" applyFill="1" applyBorder="1" applyAlignment="1" applyProtection="1">
      <alignment horizontal="center" wrapText="1"/>
    </xf>
    <xf numFmtId="0" fontId="31" fillId="2" borderId="2" xfId="10" applyFont="1" applyFill="1" applyBorder="1"/>
    <xf numFmtId="0" fontId="11" fillId="0" borderId="0" xfId="0" applyFont="1" applyFill="1" applyBorder="1" applyAlignment="1" applyProtection="1">
      <alignment horizontal="center" vertical="center" wrapText="1"/>
    </xf>
    <xf numFmtId="165" fontId="11" fillId="0" borderId="40" xfId="0" applyNumberFormat="1" applyFont="1" applyFill="1" applyBorder="1" applyAlignment="1" applyProtection="1">
      <alignment vertical="center" wrapText="1"/>
    </xf>
    <xf numFmtId="0" fontId="22" fillId="0" borderId="4" xfId="21" applyFont="1" applyFill="1" applyBorder="1" applyAlignment="1" applyProtection="1">
      <alignment horizontal="left" vertical="center" wrapText="1" indent="1"/>
    </xf>
    <xf numFmtId="0" fontId="26" fillId="0" borderId="14" xfId="10" applyFont="1" applyBorder="1"/>
    <xf numFmtId="165" fontId="13" fillId="2" borderId="6" xfId="0" applyNumberFormat="1" applyFont="1" applyFill="1" applyBorder="1" applyAlignment="1" applyProtection="1">
      <alignment vertical="center" wrapText="1"/>
    </xf>
    <xf numFmtId="4" fontId="12" fillId="0" borderId="6" xfId="0" applyNumberFormat="1" applyFont="1" applyFill="1" applyBorder="1" applyAlignment="1" applyProtection="1">
      <alignment vertical="center" wrapText="1"/>
      <protection locked="0"/>
    </xf>
    <xf numFmtId="165" fontId="29" fillId="0" borderId="0" xfId="0" applyNumberFormat="1" applyFont="1" applyFill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 wrapText="1"/>
    </xf>
    <xf numFmtId="0" fontId="13" fillId="2" borderId="37" xfId="0" applyFont="1" applyFill="1" applyBorder="1" applyAlignment="1" applyProtection="1">
      <alignment horizontal="center" vertical="center" wrapText="1"/>
    </xf>
    <xf numFmtId="165" fontId="13" fillId="2" borderId="38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 applyProtection="1">
      <alignment horizontal="left" vertical="center" wrapText="1" indent="1"/>
    </xf>
    <xf numFmtId="3" fontId="1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" xfId="0" applyNumberFormat="1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vertical="center" wrapText="1"/>
      <protection locked="0"/>
    </xf>
    <xf numFmtId="3" fontId="10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 wrapText="1"/>
      <protection locked="0"/>
    </xf>
    <xf numFmtId="3" fontId="13" fillId="0" borderId="6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 indent="1"/>
    </xf>
    <xf numFmtId="3" fontId="13" fillId="0" borderId="0" xfId="0" applyNumberFormat="1" applyFont="1" applyFill="1" applyBorder="1" applyAlignment="1" applyProtection="1">
      <alignment vertical="center" wrapText="1"/>
    </xf>
    <xf numFmtId="0" fontId="13" fillId="0" borderId="2" xfId="21" applyFont="1" applyFill="1" applyBorder="1" applyAlignment="1" applyProtection="1">
      <alignment horizontal="left" vertical="center" wrapText="1" indent="1"/>
    </xf>
    <xf numFmtId="0" fontId="13" fillId="0" borderId="2" xfId="21" applyFont="1" applyFill="1" applyBorder="1" applyAlignment="1" applyProtection="1">
      <alignment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49" fontId="10" fillId="0" borderId="19" xfId="21" applyNumberFormat="1" applyFont="1" applyFill="1" applyBorder="1" applyAlignment="1" applyProtection="1">
      <alignment horizontal="left" vertical="center" wrapText="1" indent="1"/>
    </xf>
    <xf numFmtId="0" fontId="10" fillId="0" borderId="19" xfId="21" applyFont="1" applyFill="1" applyBorder="1" applyAlignment="1" applyProtection="1">
      <alignment horizontal="left" vertical="center" wrapText="1" indent="1"/>
    </xf>
    <xf numFmtId="3" fontId="10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49" fontId="10" fillId="0" borderId="8" xfId="21" applyNumberFormat="1" applyFont="1" applyFill="1" applyBorder="1" applyAlignment="1" applyProtection="1">
      <alignment horizontal="left" vertical="center" wrapText="1" indent="1"/>
    </xf>
    <xf numFmtId="0" fontId="10" fillId="0" borderId="8" xfId="21" applyFont="1" applyFill="1" applyBorder="1" applyAlignment="1" applyProtection="1">
      <alignment horizontal="lef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10" fillId="0" borderId="43" xfId="0" applyFont="1" applyFill="1" applyBorder="1" applyAlignment="1" applyProtection="1">
      <alignment vertical="center" wrapText="1"/>
    </xf>
    <xf numFmtId="0" fontId="13" fillId="0" borderId="39" xfId="0" applyFont="1" applyFill="1" applyBorder="1" applyAlignment="1" applyProtection="1">
      <alignment vertical="center" wrapText="1"/>
    </xf>
    <xf numFmtId="3" fontId="1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0" xfId="0" applyNumberFormat="1" applyFont="1" applyFill="1" applyAlignment="1" applyProtection="1">
      <alignment horizontal="left" vertical="center" wrapText="1"/>
    </xf>
    <xf numFmtId="165" fontId="11" fillId="0" borderId="0" xfId="0" applyNumberFormat="1" applyFont="1" applyFill="1" applyAlignment="1" applyProtection="1">
      <alignment vertical="center" wrapText="1"/>
    </xf>
    <xf numFmtId="165" fontId="11" fillId="0" borderId="0" xfId="0" applyNumberFormat="1" applyFont="1" applyFill="1" applyAlignment="1" applyProtection="1">
      <alignment vertical="center" wrapText="1"/>
      <protection locked="0"/>
    </xf>
    <xf numFmtId="49" fontId="12" fillId="0" borderId="12" xfId="0" applyNumberFormat="1" applyFont="1" applyFill="1" applyBorder="1" applyAlignment="1" applyProtection="1">
      <alignment horizontal="right" vertical="center"/>
      <protection locked="0"/>
    </xf>
    <xf numFmtId="49" fontId="12" fillId="0" borderId="44" xfId="0" applyNumberFormat="1" applyFont="1" applyFill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vertical="center" wrapText="1"/>
    </xf>
    <xf numFmtId="3" fontId="11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0" fontId="0" fillId="0" borderId="43" xfId="0" applyFont="1" applyFill="1" applyBorder="1" applyAlignment="1" applyProtection="1">
      <alignment vertical="center" wrapText="1"/>
    </xf>
    <xf numFmtId="0" fontId="21" fillId="0" borderId="39" xfId="0" applyFont="1" applyFill="1" applyBorder="1" applyAlignment="1" applyProtection="1">
      <alignment vertical="center" wrapText="1"/>
    </xf>
    <xf numFmtId="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9" xfId="21" applyFont="1" applyFill="1" applyBorder="1" applyAlignment="1" applyProtection="1">
      <alignment horizontal="left" vertical="center" wrapText="1" indent="3"/>
    </xf>
    <xf numFmtId="3" fontId="12" fillId="0" borderId="41" xfId="0" applyNumberFormat="1" applyFont="1" applyFill="1" applyBorder="1" applyAlignment="1" applyProtection="1">
      <alignment vertical="center" wrapText="1"/>
      <protection locked="0"/>
    </xf>
    <xf numFmtId="3" fontId="12" fillId="0" borderId="17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Alignment="1">
      <alignment vertical="center" wrapText="1"/>
    </xf>
    <xf numFmtId="3" fontId="15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9" fontId="38" fillId="0" borderId="0" xfId="10" applyNumberFormat="1" applyFont="1"/>
    <xf numFmtId="3" fontId="26" fillId="0" borderId="8" xfId="10" applyNumberFormat="1" applyFont="1" applyBorder="1" applyAlignment="1">
      <alignment horizontal="center" vertical="center" wrapText="1"/>
    </xf>
    <xf numFmtId="0" fontId="17" fillId="0" borderId="52" xfId="10" applyFont="1" applyBorder="1"/>
    <xf numFmtId="0" fontId="17" fillId="0" borderId="53" xfId="10" applyFont="1" applyBorder="1"/>
    <xf numFmtId="49" fontId="26" fillId="0" borderId="53" xfId="10" applyNumberFormat="1" applyFont="1" applyBorder="1"/>
    <xf numFmtId="0" fontId="17" fillId="0" borderId="54" xfId="10" applyFont="1" applyBorder="1" applyAlignment="1">
      <alignment horizontal="center"/>
    </xf>
    <xf numFmtId="0" fontId="17" fillId="0" borderId="0" xfId="10" applyFont="1" applyBorder="1" applyAlignment="1">
      <alignment horizontal="center"/>
    </xf>
    <xf numFmtId="0" fontId="17" fillId="0" borderId="32" xfId="10" applyFont="1" applyBorder="1"/>
    <xf numFmtId="0" fontId="17" fillId="0" borderId="35" xfId="10" applyFont="1" applyBorder="1"/>
    <xf numFmtId="0" fontId="26" fillId="0" borderId="55" xfId="10" applyFont="1" applyBorder="1" applyAlignment="1">
      <alignment horizontal="left"/>
    </xf>
    <xf numFmtId="0" fontId="26" fillId="0" borderId="56" xfId="10" applyFont="1" applyBorder="1" applyAlignment="1">
      <alignment horizontal="left"/>
    </xf>
    <xf numFmtId="0" fontId="26" fillId="0" borderId="32" xfId="10" applyFont="1" applyBorder="1" applyAlignment="1">
      <alignment horizontal="center"/>
    </xf>
    <xf numFmtId="0" fontId="26" fillId="0" borderId="45" xfId="10" applyFont="1" applyBorder="1" applyAlignment="1">
      <alignment horizontal="center"/>
    </xf>
    <xf numFmtId="0" fontId="33" fillId="0" borderId="35" xfId="10" applyFont="1" applyBorder="1"/>
    <xf numFmtId="0" fontId="49" fillId="0" borderId="32" xfId="10" applyFont="1" applyBorder="1"/>
    <xf numFmtId="0" fontId="49" fillId="0" borderId="35" xfId="10" applyFont="1" applyBorder="1"/>
    <xf numFmtId="0" fontId="37" fillId="0" borderId="8" xfId="10" applyFont="1" applyBorder="1" applyAlignment="1">
      <alignment horizontal="left" indent="4"/>
    </xf>
    <xf numFmtId="0" fontId="37" fillId="0" borderId="8" xfId="10" applyFont="1" applyBorder="1" applyAlignment="1">
      <alignment horizontal="left" indent="6"/>
    </xf>
    <xf numFmtId="0" fontId="26" fillId="2" borderId="8" xfId="10" applyFont="1" applyFill="1" applyBorder="1" applyAlignment="1">
      <alignment horizontal="left"/>
    </xf>
    <xf numFmtId="3" fontId="26" fillId="2" borderId="8" xfId="10" applyNumberFormat="1" applyFont="1" applyFill="1" applyBorder="1"/>
    <xf numFmtId="0" fontId="26" fillId="2" borderId="8" xfId="10" applyFont="1" applyFill="1" applyBorder="1"/>
    <xf numFmtId="0" fontId="26" fillId="0" borderId="8" xfId="10" applyFont="1" applyBorder="1" applyAlignment="1">
      <alignment horizontal="center"/>
    </xf>
    <xf numFmtId="49" fontId="26" fillId="0" borderId="0" xfId="10" applyNumberFormat="1" applyFont="1" applyBorder="1" applyAlignment="1">
      <alignment horizontal="left"/>
    </xf>
    <xf numFmtId="0" fontId="26" fillId="0" borderId="55" xfId="10" applyFont="1" applyBorder="1" applyAlignment="1">
      <alignment horizontal="center"/>
    </xf>
    <xf numFmtId="0" fontId="7" fillId="0" borderId="56" xfId="10" applyBorder="1"/>
    <xf numFmtId="3" fontId="35" fillId="0" borderId="14" xfId="10" applyNumberFormat="1" applyFont="1" applyFill="1" applyBorder="1"/>
    <xf numFmtId="2" fontId="36" fillId="0" borderId="0" xfId="10" applyNumberFormat="1" applyFont="1"/>
    <xf numFmtId="0" fontId="7" fillId="0" borderId="45" xfId="10" applyBorder="1"/>
    <xf numFmtId="166" fontId="13" fillId="0" borderId="0" xfId="0" applyNumberFormat="1" applyFont="1" applyFill="1" applyAlignment="1" applyProtection="1">
      <alignment vertical="center"/>
    </xf>
    <xf numFmtId="0" fontId="13" fillId="0" borderId="43" xfId="0" applyFont="1" applyFill="1" applyBorder="1" applyAlignment="1" applyProtection="1"/>
    <xf numFmtId="3" fontId="26" fillId="0" borderId="26" xfId="10" applyNumberFormat="1" applyFont="1" applyBorder="1" applyAlignment="1">
      <alignment horizontal="center" vertical="center" wrapText="1"/>
    </xf>
    <xf numFmtId="0" fontId="17" fillId="0" borderId="0" xfId="10" applyFont="1" applyBorder="1"/>
    <xf numFmtId="49" fontId="26" fillId="0" borderId="0" xfId="10" applyNumberFormat="1" applyFont="1" applyBorder="1"/>
    <xf numFmtId="2" fontId="7" fillId="0" borderId="0" xfId="10" applyNumberFormat="1"/>
    <xf numFmtId="0" fontId="50" fillId="0" borderId="55" xfId="10" applyFont="1" applyBorder="1"/>
    <xf numFmtId="0" fontId="50" fillId="0" borderId="57" xfId="10" applyFont="1" applyBorder="1"/>
    <xf numFmtId="4" fontId="26" fillId="0" borderId="8" xfId="10" applyNumberFormat="1" applyFont="1" applyBorder="1" applyAlignment="1">
      <alignment horizontal="center"/>
    </xf>
    <xf numFmtId="0" fontId="50" fillId="0" borderId="32" xfId="10" applyFont="1" applyBorder="1"/>
    <xf numFmtId="3" fontId="37" fillId="0" borderId="35" xfId="10" applyNumberFormat="1" applyFont="1" applyBorder="1"/>
    <xf numFmtId="3" fontId="37" fillId="0" borderId="45" xfId="10" applyNumberFormat="1" applyFont="1" applyBorder="1"/>
    <xf numFmtId="3" fontId="35" fillId="0" borderId="46" xfId="10" applyNumberFormat="1" applyFont="1" applyBorder="1"/>
    <xf numFmtId="3" fontId="26" fillId="2" borderId="46" xfId="10" applyNumberFormat="1" applyFont="1" applyFill="1" applyBorder="1"/>
    <xf numFmtId="3" fontId="39" fillId="0" borderId="0" xfId="10" applyNumberFormat="1" applyFont="1"/>
    <xf numFmtId="3" fontId="39" fillId="0" borderId="0" xfId="10" applyNumberFormat="1" applyFont="1" applyAlignment="1">
      <alignment horizontal="center"/>
    </xf>
    <xf numFmtId="3" fontId="39" fillId="0" borderId="0" xfId="10" applyNumberFormat="1" applyFont="1" applyFill="1" applyBorder="1" applyAlignment="1">
      <alignment horizontal="center"/>
    </xf>
    <xf numFmtId="3" fontId="39" fillId="0" borderId="0" xfId="10" applyNumberFormat="1" applyFont="1" applyFill="1" applyBorder="1"/>
    <xf numFmtId="3" fontId="39" fillId="0" borderId="8" xfId="10" applyNumberFormat="1" applyFont="1" applyBorder="1"/>
    <xf numFmtId="0" fontId="7" fillId="0" borderId="0" xfId="10" applyFont="1" applyFill="1" applyBorder="1"/>
    <xf numFmtId="3" fontId="39" fillId="5" borderId="8" xfId="10" applyNumberFormat="1" applyFont="1" applyFill="1" applyBorder="1"/>
    <xf numFmtId="3" fontId="26" fillId="2" borderId="8" xfId="10" applyNumberFormat="1" applyFont="1" applyFill="1" applyBorder="1" applyAlignment="1">
      <alignment horizontal="right"/>
    </xf>
    <xf numFmtId="3" fontId="51" fillId="0" borderId="8" xfId="10" applyNumberFormat="1" applyFont="1" applyBorder="1"/>
    <xf numFmtId="0" fontId="26" fillId="0" borderId="19" xfId="10" applyFont="1" applyFill="1" applyBorder="1"/>
    <xf numFmtId="0" fontId="33" fillId="2" borderId="32" xfId="10" applyFont="1" applyFill="1" applyBorder="1"/>
    <xf numFmtId="0" fontId="17" fillId="2" borderId="35" xfId="10" applyFont="1" applyFill="1" applyBorder="1"/>
    <xf numFmtId="49" fontId="26" fillId="2" borderId="35" xfId="10" applyNumberFormat="1" applyFont="1" applyFill="1" applyBorder="1"/>
    <xf numFmtId="0" fontId="26" fillId="2" borderId="8" xfId="10" applyFont="1" applyFill="1" applyBorder="1" applyAlignment="1">
      <alignment horizontal="center" wrapText="1"/>
    </xf>
    <xf numFmtId="3" fontId="26" fillId="2" borderId="8" xfId="10" applyNumberFormat="1" applyFont="1" applyFill="1" applyBorder="1" applyAlignment="1">
      <alignment horizontal="center"/>
    </xf>
    <xf numFmtId="0" fontId="33" fillId="0" borderId="0" xfId="10" applyFont="1" applyBorder="1"/>
    <xf numFmtId="0" fontId="26" fillId="0" borderId="0" xfId="10" applyFont="1" applyBorder="1" applyAlignment="1">
      <alignment horizontal="center"/>
    </xf>
    <xf numFmtId="3" fontId="26" fillId="0" borderId="0" xfId="10" applyNumberFormat="1" applyFont="1" applyBorder="1" applyAlignment="1">
      <alignment horizontal="center"/>
    </xf>
    <xf numFmtId="0" fontId="50" fillId="0" borderId="0" xfId="10" applyFont="1" applyBorder="1"/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52" fillId="0" borderId="0" xfId="0" applyNumberFormat="1" applyFont="1" applyFill="1" applyAlignment="1" applyProtection="1">
      <alignment horizontal="right" wrapText="1"/>
    </xf>
    <xf numFmtId="165" fontId="13" fillId="0" borderId="11" xfId="0" applyNumberFormat="1" applyFont="1" applyFill="1" applyBorder="1" applyAlignment="1" applyProtection="1">
      <alignment horizontal="center" vertical="center" wrapText="1"/>
    </xf>
    <xf numFmtId="165" fontId="0" fillId="0" borderId="7" xfId="0" applyNumberFormat="1" applyFill="1" applyBorder="1" applyAlignment="1" applyProtection="1">
      <alignment vertical="center" wrapText="1"/>
    </xf>
    <xf numFmtId="165" fontId="0" fillId="0" borderId="8" xfId="0" applyNumberFormat="1" applyFill="1" applyBorder="1" applyAlignment="1" applyProtection="1">
      <alignment vertical="center" wrapText="1"/>
    </xf>
    <xf numFmtId="165" fontId="22" fillId="0" borderId="8" xfId="0" applyNumberFormat="1" applyFont="1" applyFill="1" applyBorder="1" applyAlignment="1" applyProtection="1">
      <alignment horizontal="center" vertical="center" wrapText="1"/>
    </xf>
    <xf numFmtId="165" fontId="22" fillId="0" borderId="9" xfId="0" applyNumberFormat="1" applyFont="1" applyFill="1" applyBorder="1" applyAlignment="1" applyProtection="1">
      <alignment horizontal="center" vertical="center" wrapText="1"/>
    </xf>
    <xf numFmtId="0" fontId="26" fillId="2" borderId="7" xfId="13" applyFont="1" applyFill="1" applyBorder="1" applyAlignment="1">
      <alignment horizontal="center" vertical="center"/>
    </xf>
    <xf numFmtId="165" fontId="0" fillId="2" borderId="8" xfId="0" applyNumberFormat="1" applyFill="1" applyBorder="1" applyAlignment="1" applyProtection="1">
      <alignment vertical="center" wrapText="1"/>
    </xf>
    <xf numFmtId="49" fontId="17" fillId="2" borderId="8" xfId="13" applyNumberFormat="1" applyFont="1" applyFill="1" applyBorder="1" applyAlignment="1">
      <alignment horizontal="left" vertical="center"/>
    </xf>
    <xf numFmtId="165" fontId="22" fillId="2" borderId="9" xfId="0" applyNumberFormat="1" applyFont="1" applyFill="1" applyBorder="1" applyAlignment="1" applyProtection="1">
      <alignment horizontal="center" vertical="center" wrapText="1"/>
    </xf>
    <xf numFmtId="3" fontId="17" fillId="2" borderId="8" xfId="13" applyNumberFormat="1" applyFont="1" applyFill="1" applyBorder="1" applyAlignment="1">
      <alignment horizontal="right" vertical="center"/>
    </xf>
    <xf numFmtId="0" fontId="47" fillId="0" borderId="8" xfId="11" applyFont="1" applyBorder="1" applyAlignment="1">
      <alignment horizontal="left" wrapText="1"/>
    </xf>
    <xf numFmtId="165" fontId="0" fillId="0" borderId="7" xfId="0" applyNumberFormat="1" applyFill="1" applyBorder="1" applyAlignment="1">
      <alignment vertical="center" wrapText="1"/>
    </xf>
    <xf numFmtId="49" fontId="37" fillId="0" borderId="8" xfId="10" applyNumberFormat="1" applyFont="1" applyBorder="1" applyAlignment="1">
      <alignment horizontal="left" vertical="center"/>
    </xf>
    <xf numFmtId="165" fontId="0" fillId="0" borderId="8" xfId="0" applyNumberFormat="1" applyFill="1" applyBorder="1" applyAlignment="1">
      <alignment vertical="center" wrapText="1"/>
    </xf>
    <xf numFmtId="3" fontId="47" fillId="0" borderId="8" xfId="11" applyNumberFormat="1" applyFont="1" applyBorder="1" applyAlignment="1">
      <alignment horizontal="right" wrapText="1"/>
    </xf>
    <xf numFmtId="165" fontId="52" fillId="0" borderId="7" xfId="0" applyNumberFormat="1" applyFont="1" applyFill="1" applyBorder="1" applyAlignment="1">
      <alignment vertical="center" wrapText="1"/>
    </xf>
    <xf numFmtId="165" fontId="52" fillId="0" borderId="8" xfId="0" applyNumberFormat="1" applyFont="1" applyFill="1" applyBorder="1" applyAlignment="1">
      <alignment vertical="center" wrapText="1"/>
    </xf>
    <xf numFmtId="165" fontId="52" fillId="0" borderId="0" xfId="0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 wrapText="1"/>
    </xf>
    <xf numFmtId="165" fontId="0" fillId="0" borderId="58" xfId="0" applyNumberFormat="1" applyFill="1" applyBorder="1" applyAlignment="1" applyProtection="1">
      <alignment vertical="center" wrapText="1"/>
    </xf>
    <xf numFmtId="165" fontId="0" fillId="0" borderId="35" xfId="0" applyNumberFormat="1" applyFill="1" applyBorder="1" applyAlignment="1" applyProtection="1">
      <alignment vertical="center" wrapText="1"/>
    </xf>
    <xf numFmtId="165" fontId="21" fillId="0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165" fontId="12" fillId="0" borderId="58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5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0" fillId="0" borderId="58" xfId="0" applyNumberFormat="1" applyFill="1" applyBorder="1" applyAlignment="1">
      <alignment vertical="center" wrapText="1"/>
    </xf>
    <xf numFmtId="49" fontId="37" fillId="0" borderId="35" xfId="10" applyNumberFormat="1" applyFont="1" applyBorder="1" applyAlignment="1">
      <alignment horizontal="left" vertical="center"/>
    </xf>
    <xf numFmtId="165" fontId="0" fillId="0" borderId="35" xfId="0" applyNumberFormat="1" applyFill="1" applyBorder="1" applyAlignment="1">
      <alignment vertical="center" wrapText="1"/>
    </xf>
    <xf numFmtId="1" fontId="10" fillId="0" borderId="8" xfId="0" applyNumberFormat="1" applyFont="1" applyFill="1" applyBorder="1" applyAlignment="1" applyProtection="1">
      <alignment vertical="center" wrapText="1"/>
      <protection locked="0"/>
    </xf>
    <xf numFmtId="0" fontId="47" fillId="0" borderId="8" xfId="11" applyFont="1" applyBorder="1" applyAlignment="1">
      <alignment wrapText="1"/>
    </xf>
    <xf numFmtId="0" fontId="47" fillId="0" borderId="8" xfId="11" applyFont="1" applyFill="1" applyBorder="1" applyAlignment="1">
      <alignment wrapText="1"/>
    </xf>
    <xf numFmtId="165" fontId="12" fillId="0" borderId="58" xfId="0" applyNumberFormat="1" applyFont="1" applyFill="1" applyBorder="1" applyAlignment="1">
      <alignment horizontal="right" vertical="center" wrapText="1"/>
    </xf>
    <xf numFmtId="49" fontId="17" fillId="2" borderId="8" xfId="13" applyNumberFormat="1" applyFont="1" applyFill="1" applyBorder="1" applyAlignment="1">
      <alignment horizontal="right" vertical="center"/>
    </xf>
    <xf numFmtId="49" fontId="17" fillId="2" borderId="32" xfId="13" applyNumberFormat="1" applyFont="1" applyFill="1" applyBorder="1" applyAlignment="1">
      <alignment horizontal="left" vertical="center"/>
    </xf>
    <xf numFmtId="49" fontId="17" fillId="2" borderId="35" xfId="13" applyNumberFormat="1" applyFont="1" applyFill="1" applyBorder="1" applyAlignment="1">
      <alignment horizontal="left" vertical="center"/>
    </xf>
    <xf numFmtId="49" fontId="17" fillId="2" borderId="45" xfId="13" applyNumberFormat="1" applyFont="1" applyFill="1" applyBorder="1" applyAlignment="1">
      <alignment horizontal="left" vertical="center"/>
    </xf>
    <xf numFmtId="49" fontId="17" fillId="2" borderId="8" xfId="13" applyNumberFormat="1" applyFont="1" applyFill="1" applyBorder="1" applyAlignment="1">
      <alignment horizontal="left" vertical="center" wrapText="1"/>
    </xf>
    <xf numFmtId="165" fontId="24" fillId="2" borderId="23" xfId="0" applyNumberFormat="1" applyFont="1" applyFill="1" applyBorder="1" applyAlignment="1" applyProtection="1">
      <alignment vertical="center" wrapText="1"/>
    </xf>
    <xf numFmtId="165" fontId="21" fillId="0" borderId="59" xfId="0" applyNumberFormat="1" applyFont="1" applyFill="1" applyBorder="1" applyAlignment="1">
      <alignment vertical="center" wrapText="1"/>
    </xf>
    <xf numFmtId="165" fontId="21" fillId="0" borderId="60" xfId="0" applyNumberFormat="1" applyFont="1" applyFill="1" applyBorder="1" applyAlignment="1">
      <alignment vertical="center" wrapText="1"/>
    </xf>
    <xf numFmtId="165" fontId="24" fillId="2" borderId="23" xfId="0" applyNumberFormat="1" applyFont="1" applyFill="1" applyBorder="1" applyAlignment="1" applyProtection="1">
      <alignment horizontal="left" vertical="center" wrapText="1"/>
    </xf>
    <xf numFmtId="0" fontId="26" fillId="0" borderId="58" xfId="10" applyFont="1" applyBorder="1" applyAlignment="1">
      <alignment horizontal="center" vertical="center"/>
    </xf>
    <xf numFmtId="0" fontId="26" fillId="0" borderId="35" xfId="10" applyFont="1" applyBorder="1" applyAlignment="1">
      <alignment horizontal="center" vertical="center"/>
    </xf>
    <xf numFmtId="0" fontId="26" fillId="0" borderId="45" xfId="10" applyFont="1" applyBorder="1" applyAlignment="1">
      <alignment horizontal="center" vertical="center"/>
    </xf>
    <xf numFmtId="0" fontId="26" fillId="0" borderId="8" xfId="10" applyFont="1" applyBorder="1" applyAlignment="1">
      <alignment horizontal="left" vertical="center" wrapText="1"/>
    </xf>
    <xf numFmtId="3" fontId="26" fillId="0" borderId="8" xfId="10" applyNumberFormat="1" applyFont="1" applyBorder="1" applyAlignment="1">
      <alignment horizontal="right" vertical="center" wrapText="1"/>
    </xf>
    <xf numFmtId="49" fontId="37" fillId="0" borderId="35" xfId="10" applyNumberFormat="1" applyFont="1" applyBorder="1" applyAlignment="1">
      <alignment horizontal="center" vertical="center"/>
    </xf>
    <xf numFmtId="49" fontId="26" fillId="0" borderId="45" xfId="10" applyNumberFormat="1" applyFont="1" applyBorder="1" applyAlignment="1">
      <alignment horizontal="center" vertical="center"/>
    </xf>
    <xf numFmtId="0" fontId="37" fillId="0" borderId="8" xfId="10" applyFont="1" applyBorder="1" applyAlignment="1">
      <alignment horizontal="left" vertical="center" wrapText="1"/>
    </xf>
    <xf numFmtId="3" fontId="37" fillId="0" borderId="8" xfId="10" applyNumberFormat="1" applyFont="1" applyBorder="1" applyAlignment="1">
      <alignment horizontal="right" vertical="center" wrapText="1"/>
    </xf>
    <xf numFmtId="0" fontId="27" fillId="0" borderId="58" xfId="10" applyFont="1" applyBorder="1" applyAlignment="1">
      <alignment horizontal="center" vertical="center"/>
    </xf>
    <xf numFmtId="49" fontId="35" fillId="0" borderId="35" xfId="10" applyNumberFormat="1" applyFont="1" applyBorder="1" applyAlignment="1">
      <alignment horizontal="center" vertical="center"/>
    </xf>
    <xf numFmtId="49" fontId="35" fillId="0" borderId="45" xfId="10" applyNumberFormat="1" applyFont="1" applyBorder="1" applyAlignment="1">
      <alignment horizontal="center" vertical="center"/>
    </xf>
    <xf numFmtId="0" fontId="35" fillId="0" borderId="8" xfId="10" applyFont="1" applyBorder="1" applyAlignment="1">
      <alignment horizontal="left" vertical="center" wrapText="1"/>
    </xf>
    <xf numFmtId="3" fontId="40" fillId="0" borderId="8" xfId="10" applyNumberFormat="1" applyFont="1" applyBorder="1" applyAlignment="1">
      <alignment horizontal="right" vertical="center" wrapText="1"/>
    </xf>
    <xf numFmtId="3" fontId="40" fillId="0" borderId="45" xfId="10" applyNumberFormat="1" applyFont="1" applyBorder="1" applyAlignment="1">
      <alignment horizontal="right" vertical="center" wrapText="1"/>
    </xf>
    <xf numFmtId="0" fontId="51" fillId="0" borderId="58" xfId="10" applyFont="1" applyBorder="1" applyAlignment="1">
      <alignment horizontal="center" vertical="center"/>
    </xf>
    <xf numFmtId="49" fontId="39" fillId="0" borderId="35" xfId="10" applyNumberFormat="1" applyFont="1" applyBorder="1" applyAlignment="1">
      <alignment horizontal="center" vertical="center"/>
    </xf>
    <xf numFmtId="49" fontId="39" fillId="0" borderId="45" xfId="10" applyNumberFormat="1" applyFont="1" applyBorder="1" applyAlignment="1">
      <alignment horizontal="center" vertical="center"/>
    </xf>
    <xf numFmtId="0" fontId="39" fillId="0" borderId="8" xfId="10" applyFont="1" applyBorder="1" applyAlignment="1">
      <alignment horizontal="left" vertical="center" wrapText="1" indent="4"/>
    </xf>
    <xf numFmtId="0" fontId="40" fillId="0" borderId="8" xfId="10" applyFont="1" applyBorder="1" applyAlignment="1">
      <alignment horizontal="left" wrapText="1" indent="5"/>
    </xf>
    <xf numFmtId="49" fontId="40" fillId="0" borderId="45" xfId="10" applyNumberFormat="1" applyFont="1" applyBorder="1" applyAlignment="1">
      <alignment horizontal="center" vertical="center"/>
    </xf>
    <xf numFmtId="49" fontId="40" fillId="0" borderId="8" xfId="10" applyNumberFormat="1" applyFont="1" applyBorder="1" applyAlignment="1">
      <alignment horizontal="left" wrapText="1" indent="5"/>
    </xf>
    <xf numFmtId="49" fontId="37" fillId="0" borderId="45" xfId="10" applyNumberFormat="1" applyFont="1" applyBorder="1" applyAlignment="1">
      <alignment horizontal="center" vertical="center"/>
    </xf>
    <xf numFmtId="0" fontId="35" fillId="0" borderId="8" xfId="10" applyFont="1" applyBorder="1" applyAlignment="1">
      <alignment horizontal="left" wrapText="1" indent="5"/>
    </xf>
    <xf numFmtId="49" fontId="26" fillId="0" borderId="35" xfId="10" applyNumberFormat="1" applyFont="1" applyBorder="1" applyAlignment="1">
      <alignment horizontal="center" vertical="center"/>
    </xf>
    <xf numFmtId="0" fontId="12" fillId="0" borderId="8" xfId="10" applyFont="1" applyFill="1" applyBorder="1" applyAlignment="1">
      <alignment horizontal="left" vertical="center" wrapText="1"/>
    </xf>
    <xf numFmtId="3" fontId="12" fillId="0" borderId="8" xfId="10" applyNumberFormat="1" applyFont="1" applyFill="1" applyBorder="1" applyAlignment="1">
      <alignment horizontal="right" vertical="center"/>
    </xf>
    <xf numFmtId="0" fontId="11" fillId="0" borderId="8" xfId="10" applyFont="1" applyFill="1" applyBorder="1" applyAlignment="1">
      <alignment vertical="center" wrapText="1"/>
    </xf>
    <xf numFmtId="3" fontId="37" fillId="0" borderId="45" xfId="10" applyNumberFormat="1" applyFont="1" applyBorder="1" applyAlignment="1">
      <alignment horizontal="right" vertical="center" wrapText="1"/>
    </xf>
    <xf numFmtId="0" fontId="15" fillId="0" borderId="8" xfId="10" applyFont="1" applyFill="1" applyBorder="1" applyAlignment="1">
      <alignment horizontal="left" vertical="center" wrapText="1" indent="2"/>
    </xf>
    <xf numFmtId="0" fontId="11" fillId="0" borderId="8" xfId="10" applyFont="1" applyFill="1" applyBorder="1" applyAlignment="1">
      <alignment horizontal="left" vertical="center" wrapText="1"/>
    </xf>
    <xf numFmtId="0" fontId="36" fillId="0" borderId="58" xfId="10" applyFont="1" applyBorder="1"/>
    <xf numFmtId="49" fontId="35" fillId="0" borderId="45" xfId="10" applyNumberFormat="1" applyFont="1" applyBorder="1" applyAlignment="1">
      <alignment horizontal="left" vertical="center"/>
    </xf>
    <xf numFmtId="3" fontId="35" fillId="0" borderId="8" xfId="10" applyNumberFormat="1" applyFont="1" applyBorder="1" applyAlignment="1">
      <alignment horizontal="right" vertical="center" wrapText="1"/>
    </xf>
    <xf numFmtId="3" fontId="35" fillId="0" borderId="45" xfId="10" applyNumberFormat="1" applyFont="1" applyBorder="1" applyAlignment="1">
      <alignment horizontal="right" vertical="center" wrapText="1"/>
    </xf>
    <xf numFmtId="3" fontId="40" fillId="0" borderId="46" xfId="10" applyNumberFormat="1" applyFont="1" applyBorder="1" applyAlignment="1">
      <alignment horizontal="right" vertical="center" wrapText="1"/>
    </xf>
    <xf numFmtId="3" fontId="35" fillId="0" borderId="46" xfId="10" applyNumberFormat="1" applyFont="1" applyBorder="1" applyAlignment="1">
      <alignment horizontal="right" vertical="center" wrapText="1"/>
    </xf>
    <xf numFmtId="3" fontId="37" fillId="0" borderId="8" xfId="10" applyNumberFormat="1" applyFont="1" applyBorder="1" applyAlignment="1">
      <alignment horizontal="right" vertical="center"/>
    </xf>
    <xf numFmtId="3" fontId="37" fillId="0" borderId="45" xfId="10" applyNumberFormat="1" applyFont="1" applyBorder="1" applyAlignment="1">
      <alignment horizontal="right" vertical="center"/>
    </xf>
    <xf numFmtId="49" fontId="37" fillId="0" borderId="45" xfId="10" applyNumberFormat="1" applyFont="1" applyBorder="1" applyAlignment="1">
      <alignment vertical="center"/>
    </xf>
    <xf numFmtId="3" fontId="37" fillId="0" borderId="46" xfId="10" applyNumberFormat="1" applyFont="1" applyBorder="1" applyAlignment="1">
      <alignment horizontal="right" vertical="center"/>
    </xf>
    <xf numFmtId="49" fontId="35" fillId="0" borderId="35" xfId="10" applyNumberFormat="1" applyFont="1" applyBorder="1" applyAlignment="1">
      <alignment horizontal="left" vertical="center"/>
    </xf>
    <xf numFmtId="0" fontId="35" fillId="0" borderId="8" xfId="10" applyFont="1" applyBorder="1" applyAlignment="1">
      <alignment horizontal="left" vertical="center" wrapText="1" indent="2"/>
    </xf>
    <xf numFmtId="3" fontId="35" fillId="0" borderId="46" xfId="10" applyNumberFormat="1" applyFont="1" applyBorder="1" applyAlignment="1">
      <alignment horizontal="right" vertical="center"/>
    </xf>
    <xf numFmtId="3" fontId="35" fillId="0" borderId="8" xfId="10" applyNumberFormat="1" applyFont="1" applyBorder="1" applyAlignment="1">
      <alignment horizontal="right" vertical="center"/>
    </xf>
    <xf numFmtId="3" fontId="35" fillId="0" borderId="45" xfId="10" applyNumberFormat="1" applyFont="1" applyBorder="1" applyAlignment="1">
      <alignment horizontal="right" vertical="center"/>
    </xf>
    <xf numFmtId="49" fontId="37" fillId="0" borderId="35" xfId="10" applyNumberFormat="1" applyFont="1" applyBorder="1" applyAlignment="1">
      <alignment vertical="center"/>
    </xf>
    <xf numFmtId="49" fontId="37" fillId="0" borderId="58" xfId="10" applyNumberFormat="1" applyFont="1" applyBorder="1" applyAlignment="1">
      <alignment vertical="center"/>
    </xf>
    <xf numFmtId="49" fontId="35" fillId="0" borderId="35" xfId="10" applyNumberFormat="1" applyFont="1" applyBorder="1" applyAlignment="1">
      <alignment vertical="center"/>
    </xf>
    <xf numFmtId="49" fontId="35" fillId="0" borderId="45" xfId="10" applyNumberFormat="1" applyFont="1" applyBorder="1" applyAlignment="1">
      <alignment vertical="center"/>
    </xf>
    <xf numFmtId="0" fontId="26" fillId="3" borderId="58" xfId="10" applyFont="1" applyFill="1" applyBorder="1" applyAlignment="1">
      <alignment horizontal="center" vertical="center"/>
    </xf>
    <xf numFmtId="0" fontId="26" fillId="0" borderId="36" xfId="10" applyFont="1" applyBorder="1" applyAlignment="1">
      <alignment horizontal="center" vertical="center"/>
    </xf>
    <xf numFmtId="0" fontId="37" fillId="0" borderId="26" xfId="10" applyFont="1" applyBorder="1" applyAlignment="1">
      <alignment horizontal="left" vertical="center" wrapText="1"/>
    </xf>
    <xf numFmtId="3" fontId="37" fillId="0" borderId="26" xfId="10" applyNumberFormat="1" applyFont="1" applyBorder="1" applyAlignment="1">
      <alignment horizontal="right" vertical="center" wrapText="1"/>
    </xf>
    <xf numFmtId="3" fontId="37" fillId="0" borderId="50" xfId="10" applyNumberFormat="1" applyFont="1" applyBorder="1" applyAlignment="1">
      <alignment horizontal="right" vertical="center" wrapText="1"/>
    </xf>
    <xf numFmtId="0" fontId="26" fillId="3" borderId="36" xfId="10" applyFont="1" applyFill="1" applyBorder="1" applyAlignment="1">
      <alignment horizontal="center" vertical="center"/>
    </xf>
    <xf numFmtId="0" fontId="37" fillId="3" borderId="26" xfId="10" applyFont="1" applyFill="1" applyBorder="1" applyAlignment="1">
      <alignment horizontal="left" vertical="center" wrapText="1"/>
    </xf>
    <xf numFmtId="3" fontId="37" fillId="3" borderId="26" xfId="10" applyNumberFormat="1" applyFont="1" applyFill="1" applyBorder="1" applyAlignment="1">
      <alignment horizontal="right" vertical="center" wrapText="1"/>
    </xf>
    <xf numFmtId="3" fontId="37" fillId="3" borderId="50" xfId="10" applyNumberFormat="1" applyFont="1" applyFill="1" applyBorder="1" applyAlignment="1">
      <alignment horizontal="right" vertical="center" wrapText="1"/>
    </xf>
    <xf numFmtId="0" fontId="7" fillId="3" borderId="0" xfId="10" applyFill="1"/>
    <xf numFmtId="0" fontId="26" fillId="2" borderId="59" xfId="10" applyFont="1" applyFill="1" applyBorder="1" applyAlignment="1">
      <alignment horizontal="center" vertical="center"/>
    </xf>
    <xf numFmtId="49" fontId="26" fillId="2" borderId="60" xfId="10" applyNumberFormat="1" applyFont="1" applyFill="1" applyBorder="1" applyAlignment="1">
      <alignment horizontal="center" vertical="center"/>
    </xf>
    <xf numFmtId="49" fontId="26" fillId="2" borderId="61" xfId="10" applyNumberFormat="1" applyFont="1" applyFill="1" applyBorder="1" applyAlignment="1">
      <alignment horizontal="center" vertical="center"/>
    </xf>
    <xf numFmtId="0" fontId="31" fillId="2" borderId="23" xfId="10" applyFont="1" applyFill="1" applyBorder="1" applyAlignment="1">
      <alignment horizontal="left" vertical="center" wrapText="1"/>
    </xf>
    <xf numFmtId="3" fontId="26" fillId="2" borderId="23" xfId="10" applyNumberFormat="1" applyFont="1" applyFill="1" applyBorder="1" applyAlignment="1">
      <alignment horizontal="right" vertical="center" wrapText="1"/>
    </xf>
    <xf numFmtId="3" fontId="38" fillId="0" borderId="0" xfId="10" applyNumberFormat="1" applyFont="1" applyAlignment="1">
      <alignment horizontal="right"/>
    </xf>
    <xf numFmtId="0" fontId="31" fillId="0" borderId="62" xfId="10" applyFont="1" applyBorder="1" applyAlignment="1">
      <alignment horizontal="center" vertical="center" wrapText="1"/>
    </xf>
    <xf numFmtId="3" fontId="26" fillId="0" borderId="2" xfId="10" applyNumberFormat="1" applyFont="1" applyBorder="1" applyAlignment="1">
      <alignment horizontal="center" vertical="center" wrapText="1"/>
    </xf>
    <xf numFmtId="0" fontId="26" fillId="0" borderId="63" xfId="10" applyFont="1" applyBorder="1" applyAlignment="1">
      <alignment horizontal="center" vertical="center"/>
    </xf>
    <xf numFmtId="0" fontId="26" fillId="0" borderId="64" xfId="10" applyFont="1" applyBorder="1" applyAlignment="1">
      <alignment horizontal="center" vertical="center"/>
    </xf>
    <xf numFmtId="0" fontId="26" fillId="0" borderId="65" xfId="10" applyFont="1" applyBorder="1" applyAlignment="1">
      <alignment horizontal="center" vertical="center"/>
    </xf>
    <xf numFmtId="0" fontId="26" fillId="0" borderId="11" xfId="10" applyFont="1" applyBorder="1" applyAlignment="1">
      <alignment horizontal="left" vertical="center" wrapText="1"/>
    </xf>
    <xf numFmtId="3" fontId="26" fillId="0" borderId="11" xfId="10" applyNumberFormat="1" applyFont="1" applyBorder="1" applyAlignment="1">
      <alignment horizontal="right" vertical="center" wrapText="1"/>
    </xf>
    <xf numFmtId="0" fontId="26" fillId="0" borderId="66" xfId="10" applyFont="1" applyBorder="1" applyAlignment="1">
      <alignment horizontal="center" vertical="center"/>
    </xf>
    <xf numFmtId="0" fontId="7" fillId="0" borderId="46" xfId="10" applyBorder="1"/>
    <xf numFmtId="0" fontId="26" fillId="0" borderId="67" xfId="10" applyFont="1" applyBorder="1" applyAlignment="1">
      <alignment horizontal="center" vertical="center"/>
    </xf>
    <xf numFmtId="49" fontId="37" fillId="0" borderId="51" xfId="10" applyNumberFormat="1" applyFont="1" applyBorder="1" applyAlignment="1">
      <alignment horizontal="center" vertical="center"/>
    </xf>
    <xf numFmtId="0" fontId="26" fillId="2" borderId="68" xfId="10" applyFont="1" applyFill="1" applyBorder="1" applyAlignment="1">
      <alignment horizontal="center" vertical="center"/>
    </xf>
    <xf numFmtId="49" fontId="26" fillId="2" borderId="69" xfId="10" applyNumberFormat="1" applyFont="1" applyFill="1" applyBorder="1" applyAlignment="1">
      <alignment horizontal="center" vertical="center"/>
    </xf>
    <xf numFmtId="49" fontId="26" fillId="2" borderId="70" xfId="10" applyNumberFormat="1" applyFont="1" applyFill="1" applyBorder="1" applyAlignment="1">
      <alignment horizontal="center" vertical="center"/>
    </xf>
    <xf numFmtId="0" fontId="31" fillId="2" borderId="71" xfId="10" applyFont="1" applyFill="1" applyBorder="1" applyAlignment="1">
      <alignment horizontal="left" vertical="center" wrapText="1"/>
    </xf>
    <xf numFmtId="3" fontId="26" fillId="2" borderId="71" xfId="10" applyNumberFormat="1" applyFont="1" applyFill="1" applyBorder="1" applyAlignment="1">
      <alignment horizontal="right" vertical="center" wrapText="1"/>
    </xf>
    <xf numFmtId="165" fontId="12" fillId="0" borderId="0" xfId="2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13" fillId="0" borderId="26" xfId="21" applyFont="1" applyFill="1" applyBorder="1" applyAlignment="1">
      <alignment horizontal="center" vertical="center" wrapText="1"/>
    </xf>
    <xf numFmtId="0" fontId="0" fillId="0" borderId="1" xfId="21" applyFont="1" applyFill="1" applyBorder="1" applyAlignment="1">
      <alignment horizontal="center" vertical="center"/>
    </xf>
    <xf numFmtId="0" fontId="0" fillId="0" borderId="2" xfId="21" applyFont="1" applyFill="1" applyBorder="1" applyAlignment="1">
      <alignment horizontal="center" vertical="center"/>
    </xf>
    <xf numFmtId="0" fontId="0" fillId="0" borderId="6" xfId="21" applyFont="1" applyFill="1" applyBorder="1" applyAlignment="1">
      <alignment horizontal="center" vertical="center"/>
    </xf>
    <xf numFmtId="0" fontId="12" fillId="0" borderId="18" xfId="21" applyFont="1" applyFill="1" applyBorder="1" applyAlignment="1">
      <alignment horizontal="center" vertical="center"/>
    </xf>
    <xf numFmtId="0" fontId="10" fillId="0" borderId="19" xfId="21" applyFont="1" applyFill="1" applyBorder="1" applyAlignment="1" applyProtection="1">
      <alignment wrapText="1"/>
      <protection locked="0"/>
    </xf>
    <xf numFmtId="169" fontId="10" fillId="0" borderId="19" xfId="7" applyNumberFormat="1" applyFont="1" applyFill="1" applyBorder="1" applyAlignment="1" applyProtection="1">
      <protection locked="0"/>
    </xf>
    <xf numFmtId="169" fontId="10" fillId="0" borderId="20" xfId="7" applyNumberFormat="1" applyFont="1" applyFill="1" applyBorder="1" applyAlignment="1" applyProtection="1"/>
    <xf numFmtId="0" fontId="12" fillId="0" borderId="7" xfId="21" applyFont="1" applyFill="1" applyBorder="1" applyAlignment="1">
      <alignment horizontal="center" vertical="center"/>
    </xf>
    <xf numFmtId="169" fontId="10" fillId="0" borderId="8" xfId="7" applyNumberFormat="1" applyFont="1" applyFill="1" applyBorder="1" applyAlignment="1" applyProtection="1">
      <protection locked="0"/>
    </xf>
    <xf numFmtId="169" fontId="10" fillId="0" borderId="9" xfId="7" applyNumberFormat="1" applyFont="1" applyFill="1" applyBorder="1" applyAlignment="1" applyProtection="1"/>
    <xf numFmtId="0" fontId="10" fillId="0" borderId="8" xfId="21" applyFont="1" applyFill="1" applyBorder="1" applyAlignment="1" applyProtection="1">
      <alignment wrapText="1"/>
      <protection locked="0"/>
    </xf>
    <xf numFmtId="0" fontId="12" fillId="0" borderId="13" xfId="21" applyFont="1" applyFill="1" applyBorder="1" applyAlignment="1">
      <alignment horizontal="center" vertical="center"/>
    </xf>
    <xf numFmtId="0" fontId="10" fillId="0" borderId="14" xfId="21" applyFont="1" applyFill="1" applyBorder="1" applyAlignment="1" applyProtection="1">
      <alignment wrapText="1"/>
      <protection locked="0"/>
    </xf>
    <xf numFmtId="169" fontId="10" fillId="0" borderId="14" xfId="7" applyNumberFormat="1" applyFont="1" applyFill="1" applyBorder="1" applyAlignment="1" applyProtection="1">
      <protection locked="0"/>
    </xf>
    <xf numFmtId="0" fontId="0" fillId="2" borderId="1" xfId="21" applyFont="1" applyFill="1" applyBorder="1" applyAlignment="1">
      <alignment horizontal="center" vertical="center"/>
    </xf>
    <xf numFmtId="0" fontId="13" fillId="2" borderId="2" xfId="21" applyFont="1" applyFill="1" applyBorder="1"/>
    <xf numFmtId="169" fontId="10" fillId="2" borderId="2" xfId="21" applyNumberFormat="1" applyFont="1" applyFill="1" applyBorder="1"/>
    <xf numFmtId="169" fontId="10" fillId="2" borderId="6" xfId="21" applyNumberFormat="1" applyFont="1" applyFill="1" applyBorder="1"/>
    <xf numFmtId="0" fontId="13" fillId="0" borderId="10" xfId="21" applyFont="1" applyFill="1" applyBorder="1" applyAlignment="1" applyProtection="1">
      <alignment horizontal="center" vertical="center" wrapText="1"/>
    </xf>
    <xf numFmtId="0" fontId="13" fillId="0" borderId="11" xfId="21" applyFont="1" applyFill="1" applyBorder="1" applyAlignment="1" applyProtection="1">
      <alignment horizontal="center" vertical="center" wrapText="1"/>
    </xf>
    <xf numFmtId="0" fontId="13" fillId="0" borderId="12" xfId="21" applyFont="1" applyFill="1" applyBorder="1" applyAlignment="1" applyProtection="1">
      <alignment horizontal="center" vertical="center" wrapText="1"/>
    </xf>
    <xf numFmtId="0" fontId="10" fillId="0" borderId="1" xfId="21" applyFont="1" applyFill="1" applyBorder="1" applyAlignment="1" applyProtection="1">
      <alignment horizontal="center" vertical="center"/>
    </xf>
    <xf numFmtId="0" fontId="10" fillId="0" borderId="2" xfId="21" applyFont="1" applyFill="1" applyBorder="1" applyAlignment="1" applyProtection="1">
      <alignment horizontal="center" vertical="center"/>
    </xf>
    <xf numFmtId="0" fontId="10" fillId="0" borderId="6" xfId="21" applyFont="1" applyFill="1" applyBorder="1" applyAlignment="1" applyProtection="1">
      <alignment horizontal="center" vertical="center"/>
    </xf>
    <xf numFmtId="0" fontId="14" fillId="0" borderId="10" xfId="21" applyFont="1" applyFill="1" applyBorder="1" applyAlignment="1" applyProtection="1">
      <alignment horizontal="center" vertical="center"/>
    </xf>
    <xf numFmtId="0" fontId="14" fillId="0" borderId="7" xfId="21" applyFont="1" applyFill="1" applyBorder="1" applyAlignment="1" applyProtection="1">
      <alignment horizontal="center" vertical="center"/>
    </xf>
    <xf numFmtId="0" fontId="14" fillId="0" borderId="21" xfId="21" applyFont="1" applyFill="1" applyBorder="1" applyAlignment="1" applyProtection="1">
      <alignment horizontal="center" vertical="center"/>
    </xf>
    <xf numFmtId="0" fontId="10" fillId="0" borderId="26" xfId="21" applyFont="1" applyFill="1" applyBorder="1" applyProtection="1"/>
    <xf numFmtId="0" fontId="10" fillId="0" borderId="10" xfId="21" applyFont="1" applyFill="1" applyBorder="1" applyAlignment="1" applyProtection="1">
      <alignment horizontal="center" vertical="center"/>
    </xf>
    <xf numFmtId="0" fontId="10" fillId="0" borderId="11" xfId="21" applyFont="1" applyFill="1" applyBorder="1" applyProtection="1">
      <protection locked="0"/>
    </xf>
    <xf numFmtId="169" fontId="10" fillId="0" borderId="12" xfId="1" applyNumberFormat="1" applyFont="1" applyFill="1" applyBorder="1" applyAlignment="1" applyProtection="1">
      <protection locked="0"/>
    </xf>
    <xf numFmtId="0" fontId="10" fillId="0" borderId="7" xfId="21" applyFont="1" applyFill="1" applyBorder="1" applyAlignment="1" applyProtection="1">
      <alignment horizontal="center" vertical="center"/>
    </xf>
    <xf numFmtId="0" fontId="10" fillId="0" borderId="8" xfId="21" applyFont="1" applyFill="1" applyBorder="1" applyProtection="1">
      <protection locked="0"/>
    </xf>
    <xf numFmtId="169" fontId="10" fillId="0" borderId="9" xfId="1" applyNumberFormat="1" applyFont="1" applyFill="1" applyBorder="1" applyAlignment="1" applyProtection="1">
      <protection locked="0"/>
    </xf>
    <xf numFmtId="0" fontId="10" fillId="0" borderId="21" xfId="21" applyFont="1" applyFill="1" applyBorder="1" applyAlignment="1" applyProtection="1">
      <alignment horizontal="center" vertical="center"/>
    </xf>
    <xf numFmtId="0" fontId="10" fillId="0" borderId="26" xfId="21" applyFont="1" applyFill="1" applyBorder="1" applyProtection="1">
      <protection locked="0"/>
    </xf>
    <xf numFmtId="169" fontId="10" fillId="0" borderId="25" xfId="1" applyNumberFormat="1" applyFont="1" applyFill="1" applyBorder="1" applyAlignment="1" applyProtection="1">
      <protection locked="0"/>
    </xf>
    <xf numFmtId="0" fontId="10" fillId="2" borderId="1" xfId="21" applyFont="1" applyFill="1" applyBorder="1" applyAlignment="1" applyProtection="1">
      <alignment horizontal="center" vertical="center"/>
    </xf>
    <xf numFmtId="0" fontId="13" fillId="2" borderId="2" xfId="21" applyFont="1" applyFill="1" applyBorder="1" applyAlignment="1" applyProtection="1">
      <alignment horizontal="left" vertical="center" wrapText="1"/>
    </xf>
    <xf numFmtId="169" fontId="10" fillId="2" borderId="6" xfId="1" applyNumberFormat="1" applyFont="1" applyFill="1" applyBorder="1" applyAlignment="1" applyProtection="1"/>
    <xf numFmtId="0" fontId="9" fillId="0" borderId="0" xfId="20" applyAlignment="1">
      <alignment horizontal="center"/>
    </xf>
    <xf numFmtId="0" fontId="9" fillId="0" borderId="0" xfId="20"/>
    <xf numFmtId="3" fontId="9" fillId="0" borderId="0" xfId="20" applyNumberFormat="1" applyAlignment="1"/>
    <xf numFmtId="3" fontId="55" fillId="0" borderId="0" xfId="20" applyNumberFormat="1" applyFont="1"/>
    <xf numFmtId="0" fontId="56" fillId="0" borderId="0" xfId="20" applyFont="1"/>
    <xf numFmtId="0" fontId="29" fillId="0" borderId="0" xfId="20" applyFont="1" applyBorder="1" applyAlignment="1">
      <alignment horizontal="center" vertical="center"/>
    </xf>
    <xf numFmtId="3" fontId="9" fillId="0" borderId="0" xfId="20" applyNumberFormat="1"/>
    <xf numFmtId="0" fontId="59" fillId="0" borderId="0" xfId="17" applyFill="1"/>
    <xf numFmtId="0" fontId="57" fillId="0" borderId="0" xfId="17" applyFont="1" applyFill="1" applyAlignment="1">
      <alignment vertical="center"/>
    </xf>
    <xf numFmtId="0" fontId="13" fillId="0" borderId="3" xfId="17" applyFont="1" applyFill="1" applyBorder="1" applyAlignment="1">
      <alignment vertical="center"/>
    </xf>
    <xf numFmtId="0" fontId="13" fillId="0" borderId="4" xfId="17" applyFont="1" applyFill="1" applyBorder="1" applyAlignment="1">
      <alignment horizontal="center" vertical="center"/>
    </xf>
    <xf numFmtId="0" fontId="13" fillId="0" borderId="5" xfId="17" applyFont="1" applyFill="1" applyBorder="1" applyAlignment="1">
      <alignment horizontal="center" vertical="center"/>
    </xf>
    <xf numFmtId="49" fontId="10" fillId="0" borderId="10" xfId="17" applyNumberFormat="1" applyFont="1" applyFill="1" applyBorder="1" applyAlignment="1">
      <alignment vertical="center"/>
    </xf>
    <xf numFmtId="3" fontId="10" fillId="0" borderId="11" xfId="17" applyNumberFormat="1" applyFont="1" applyFill="1" applyBorder="1" applyAlignment="1" applyProtection="1">
      <alignment vertical="center"/>
      <protection locked="0"/>
    </xf>
    <xf numFmtId="49" fontId="24" fillId="0" borderId="1" xfId="17" applyNumberFormat="1" applyFont="1" applyFill="1" applyBorder="1" applyAlignment="1">
      <alignment vertical="center"/>
    </xf>
    <xf numFmtId="3" fontId="13" fillId="0" borderId="2" xfId="17" applyNumberFormat="1" applyFont="1" applyFill="1" applyBorder="1" applyAlignment="1">
      <alignment vertical="center"/>
    </xf>
    <xf numFmtId="3" fontId="13" fillId="0" borderId="6" xfId="17" applyNumberFormat="1" applyFont="1" applyFill="1" applyBorder="1" applyAlignment="1">
      <alignment vertical="center"/>
    </xf>
    <xf numFmtId="0" fontId="59" fillId="0" borderId="0" xfId="17" applyFill="1" applyAlignment="1">
      <alignment vertical="center"/>
    </xf>
    <xf numFmtId="49" fontId="24" fillId="0" borderId="0" xfId="17" applyNumberFormat="1" applyFont="1" applyFill="1" applyBorder="1" applyAlignment="1">
      <alignment vertical="center"/>
    </xf>
    <xf numFmtId="3" fontId="13" fillId="0" borderId="0" xfId="17" applyNumberFormat="1" applyFont="1" applyFill="1" applyBorder="1" applyAlignment="1">
      <alignment vertical="center"/>
    </xf>
    <xf numFmtId="0" fontId="13" fillId="0" borderId="0" xfId="17" applyFont="1" applyFill="1" applyAlignment="1">
      <alignment vertical="center"/>
    </xf>
    <xf numFmtId="49" fontId="10" fillId="0" borderId="74" xfId="17" applyNumberFormat="1" applyFont="1" applyFill="1" applyBorder="1" applyAlignment="1">
      <alignment vertical="center"/>
    </xf>
    <xf numFmtId="49" fontId="10" fillId="0" borderId="64" xfId="17" applyNumberFormat="1" applyFont="1" applyFill="1" applyBorder="1" applyAlignment="1">
      <alignment vertical="center"/>
    </xf>
    <xf numFmtId="49" fontId="10" fillId="0" borderId="65" xfId="17" applyNumberFormat="1" applyFont="1" applyFill="1" applyBorder="1" applyAlignment="1">
      <alignment vertical="center"/>
    </xf>
    <xf numFmtId="49" fontId="24" fillId="0" borderId="42" xfId="17" applyNumberFormat="1" applyFont="1" applyFill="1" applyBorder="1" applyAlignment="1">
      <alignment vertical="center"/>
    </xf>
    <xf numFmtId="49" fontId="10" fillId="0" borderId="43" xfId="1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58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 applyProtection="1">
      <alignment horizontal="left" vertical="center" wrapText="1" indent="1"/>
    </xf>
    <xf numFmtId="0" fontId="14" fillId="0" borderId="7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 applyProtection="1">
      <alignment horizontal="left" vertical="center" wrapText="1" indent="1"/>
    </xf>
    <xf numFmtId="165" fontId="1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45" xfId="0" applyFont="1" applyFill="1" applyBorder="1" applyAlignment="1" applyProtection="1">
      <alignment horizontal="left" vertical="center" wrapText="1" indent="8"/>
    </xf>
    <xf numFmtId="0" fontId="14" fillId="0" borderId="19" xfId="0" applyFont="1" applyFill="1" applyBorder="1" applyAlignment="1" applyProtection="1">
      <alignment vertical="center" wrapText="1"/>
      <protection locked="0"/>
    </xf>
    <xf numFmtId="165" fontId="14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8" xfId="0" applyFont="1" applyFill="1" applyBorder="1" applyAlignment="1" applyProtection="1">
      <alignment vertical="center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vertical="center" wrapText="1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vertical="center" wrapText="1"/>
    </xf>
    <xf numFmtId="165" fontId="24" fillId="0" borderId="16" xfId="0" applyNumberFormat="1" applyFont="1" applyFill="1" applyBorder="1" applyAlignment="1" applyProtection="1">
      <alignment vertical="center" wrapText="1"/>
    </xf>
    <xf numFmtId="165" fontId="24" fillId="0" borderId="27" xfId="0" applyNumberFormat="1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right" vertical="center" indent="1"/>
    </xf>
    <xf numFmtId="0" fontId="11" fillId="0" borderId="7" xfId="0" applyFont="1" applyBorder="1" applyAlignment="1" applyProtection="1">
      <alignment horizontal="right" vertical="center" indent="1"/>
    </xf>
    <xf numFmtId="0" fontId="10" fillId="0" borderId="8" xfId="0" applyFont="1" applyBorder="1" applyAlignment="1" applyProtection="1">
      <alignment horizontal="left" vertical="center" indent="1"/>
      <protection locked="0"/>
    </xf>
    <xf numFmtId="3" fontId="32" fillId="2" borderId="17" xfId="10" applyNumberFormat="1" applyFont="1" applyFill="1" applyBorder="1"/>
    <xf numFmtId="165" fontId="20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Border="1" applyAlignment="1" applyProtection="1">
      <alignment vertical="center" wrapText="1"/>
    </xf>
    <xf numFmtId="172" fontId="10" fillId="0" borderId="12" xfId="7" applyNumberFormat="1" applyFont="1" applyFill="1" applyBorder="1" applyAlignment="1" applyProtection="1">
      <protection locked="0"/>
    </xf>
    <xf numFmtId="172" fontId="10" fillId="0" borderId="9" xfId="7" applyNumberFormat="1" applyFont="1" applyFill="1" applyBorder="1" applyAlignment="1" applyProtection="1">
      <protection locked="0"/>
    </xf>
    <xf numFmtId="172" fontId="10" fillId="0" borderId="25" xfId="7" applyNumberFormat="1" applyFont="1" applyFill="1" applyBorder="1" applyAlignment="1" applyProtection="1">
      <protection locked="0"/>
    </xf>
    <xf numFmtId="172" fontId="13" fillId="2" borderId="6" xfId="7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61" fillId="0" borderId="0" xfId="0" applyNumberFormat="1" applyFont="1" applyFill="1" applyAlignment="1" applyProtection="1">
      <alignment vertical="center" wrapText="1"/>
    </xf>
    <xf numFmtId="0" fontId="17" fillId="0" borderId="35" xfId="10" applyFont="1" applyFill="1" applyBorder="1" applyAlignment="1"/>
    <xf numFmtId="0" fontId="7" fillId="0" borderId="35" xfId="10" applyFill="1" applyBorder="1" applyAlignment="1"/>
    <xf numFmtId="3" fontId="17" fillId="0" borderId="35" xfId="10" applyNumberFormat="1" applyFont="1" applyFill="1" applyBorder="1"/>
    <xf numFmtId="0" fontId="33" fillId="0" borderId="47" xfId="10" applyFont="1" applyBorder="1"/>
    <xf numFmtId="49" fontId="17" fillId="0" borderId="49" xfId="10" applyNumberFormat="1" applyFont="1" applyBorder="1"/>
    <xf numFmtId="3" fontId="17" fillId="0" borderId="19" xfId="10" applyNumberFormat="1" applyFont="1" applyBorder="1"/>
    <xf numFmtId="0" fontId="35" fillId="0" borderId="72" xfId="10" applyFont="1" applyBorder="1"/>
    <xf numFmtId="49" fontId="27" fillId="0" borderId="60" xfId="10" applyNumberFormat="1" applyFont="1" applyBorder="1"/>
    <xf numFmtId="49" fontId="40" fillId="0" borderId="61" xfId="10" applyNumberFormat="1" applyFont="1" applyBorder="1"/>
    <xf numFmtId="0" fontId="35" fillId="0" borderId="23" xfId="10" applyFont="1" applyBorder="1"/>
    <xf numFmtId="3" fontId="35" fillId="0" borderId="23" xfId="10" applyNumberFormat="1" applyFont="1" applyBorder="1"/>
    <xf numFmtId="165" fontId="13" fillId="0" borderId="65" xfId="0" applyNumberFormat="1" applyFont="1" applyFill="1" applyBorder="1" applyAlignment="1" applyProtection="1">
      <alignment horizontal="center" vertical="center" wrapText="1"/>
    </xf>
    <xf numFmtId="165" fontId="21" fillId="0" borderId="45" xfId="0" applyNumberFormat="1" applyFont="1" applyFill="1" applyBorder="1" applyAlignment="1" applyProtection="1">
      <alignment horizontal="center" vertical="center" wrapText="1"/>
    </xf>
    <xf numFmtId="3" fontId="17" fillId="2" borderId="45" xfId="13" applyNumberFormat="1" applyFont="1" applyFill="1" applyBorder="1" applyAlignment="1">
      <alignment horizontal="right" vertical="center"/>
    </xf>
    <xf numFmtId="165" fontId="10" fillId="0" borderId="45" xfId="0" applyNumberFormat="1" applyFont="1" applyFill="1" applyBorder="1" applyAlignment="1" applyProtection="1">
      <alignment vertical="center" wrapText="1"/>
      <protection locked="0"/>
    </xf>
    <xf numFmtId="165" fontId="24" fillId="2" borderId="61" xfId="0" applyNumberFormat="1" applyFont="1" applyFill="1" applyBorder="1" applyAlignment="1" applyProtection="1">
      <alignment vertical="center" wrapText="1"/>
    </xf>
    <xf numFmtId="165" fontId="10" fillId="0" borderId="8" xfId="0" applyNumberFormat="1" applyFont="1" applyFill="1" applyBorder="1" applyAlignment="1" applyProtection="1">
      <alignment vertical="center" wrapText="1"/>
    </xf>
    <xf numFmtId="0" fontId="35" fillId="0" borderId="77" xfId="11" applyFont="1" applyBorder="1"/>
    <xf numFmtId="0" fontId="37" fillId="0" borderId="77" xfId="11" applyFont="1" applyBorder="1"/>
    <xf numFmtId="49" fontId="17" fillId="7" borderId="37" xfId="13" applyNumberFormat="1" applyFont="1" applyFill="1" applyBorder="1" applyAlignment="1">
      <alignment horizontal="left" vertical="center"/>
    </xf>
    <xf numFmtId="49" fontId="17" fillId="7" borderId="35" xfId="13" applyNumberFormat="1" applyFont="1" applyFill="1" applyBorder="1" applyAlignment="1">
      <alignment horizontal="left" vertical="center"/>
    </xf>
    <xf numFmtId="165" fontId="0" fillId="8" borderId="35" xfId="0" applyNumberFormat="1" applyFill="1" applyBorder="1" applyAlignment="1">
      <alignment vertical="center" wrapText="1"/>
    </xf>
    <xf numFmtId="49" fontId="50" fillId="7" borderId="37" xfId="13" applyNumberFormat="1" applyFont="1" applyFill="1" applyBorder="1" applyAlignment="1">
      <alignment horizontal="left" vertical="center"/>
    </xf>
    <xf numFmtId="49" fontId="35" fillId="8" borderId="35" xfId="10" applyNumberFormat="1" applyFont="1" applyFill="1" applyBorder="1" applyAlignment="1">
      <alignment horizontal="left" vertical="center"/>
    </xf>
    <xf numFmtId="49" fontId="50" fillId="7" borderId="35" xfId="13" applyNumberFormat="1" applyFont="1" applyFill="1" applyBorder="1" applyAlignment="1">
      <alignment horizontal="left" vertical="center"/>
    </xf>
    <xf numFmtId="1" fontId="58" fillId="0" borderId="8" xfId="0" applyNumberFormat="1" applyFont="1" applyFill="1" applyBorder="1" applyAlignment="1" applyProtection="1">
      <alignment vertical="center" wrapText="1"/>
      <protection locked="0"/>
    </xf>
    <xf numFmtId="165" fontId="20" fillId="8" borderId="35" xfId="0" applyNumberFormat="1" applyFont="1" applyFill="1" applyBorder="1" applyAlignment="1">
      <alignment vertical="center" wrapText="1"/>
    </xf>
    <xf numFmtId="165" fontId="58" fillId="0" borderId="8" xfId="0" applyNumberFormat="1" applyFont="1" applyFill="1" applyBorder="1" applyAlignment="1" applyProtection="1">
      <alignment vertical="center" wrapText="1"/>
      <protection locked="0"/>
    </xf>
    <xf numFmtId="1" fontId="62" fillId="0" borderId="8" xfId="0" applyNumberFormat="1" applyFont="1" applyFill="1" applyBorder="1" applyAlignment="1" applyProtection="1">
      <alignment vertical="center" wrapText="1"/>
      <protection locked="0"/>
    </xf>
    <xf numFmtId="3" fontId="33" fillId="2" borderId="8" xfId="13" applyNumberFormat="1" applyFont="1" applyFill="1" applyBorder="1" applyAlignment="1">
      <alignment horizontal="right" vertical="center"/>
    </xf>
    <xf numFmtId="3" fontId="17" fillId="2" borderId="8" xfId="13" applyNumberFormat="1" applyFont="1" applyFill="1" applyBorder="1" applyAlignment="1">
      <alignment vertical="center"/>
    </xf>
    <xf numFmtId="3" fontId="47" fillId="0" borderId="8" xfId="11" applyNumberFormat="1" applyFont="1" applyBorder="1" applyAlignment="1">
      <alignment wrapText="1"/>
    </xf>
    <xf numFmtId="3" fontId="37" fillId="8" borderId="8" xfId="10" applyNumberFormat="1" applyFont="1" applyFill="1" applyBorder="1"/>
    <xf numFmtId="3" fontId="37" fillId="8" borderId="46" xfId="10" applyNumberFormat="1" applyFont="1" applyFill="1" applyBorder="1"/>
    <xf numFmtId="3" fontId="27" fillId="8" borderId="8" xfId="10" applyNumberFormat="1" applyFont="1" applyFill="1" applyBorder="1"/>
    <xf numFmtId="3" fontId="37" fillId="8" borderId="26" xfId="10" applyNumberFormat="1" applyFont="1" applyFill="1" applyBorder="1"/>
    <xf numFmtId="0" fontId="26" fillId="8" borderId="32" xfId="10" applyFont="1" applyFill="1" applyBorder="1"/>
    <xf numFmtId="49" fontId="26" fillId="8" borderId="35" xfId="10" applyNumberFormat="1" applyFont="1" applyFill="1" applyBorder="1"/>
    <xf numFmtId="49" fontId="37" fillId="8" borderId="45" xfId="10" applyNumberFormat="1" applyFont="1" applyFill="1" applyBorder="1"/>
    <xf numFmtId="0" fontId="37" fillId="8" borderId="8" xfId="10" applyFont="1" applyFill="1" applyBorder="1"/>
    <xf numFmtId="0" fontId="7" fillId="8" borderId="0" xfId="10" applyFill="1"/>
    <xf numFmtId="3" fontId="7" fillId="8" borderId="0" xfId="10" applyNumberFormat="1" applyFill="1"/>
    <xf numFmtId="3" fontId="35" fillId="8" borderId="8" xfId="10" applyNumberFormat="1" applyFont="1" applyFill="1" applyBorder="1"/>
    <xf numFmtId="0" fontId="37" fillId="9" borderId="45" xfId="10" applyFont="1" applyFill="1" applyBorder="1"/>
    <xf numFmtId="3" fontId="37" fillId="9" borderId="19" xfId="10" applyNumberFormat="1" applyFont="1" applyFill="1" applyBorder="1"/>
    <xf numFmtId="0" fontId="37" fillId="8" borderId="8" xfId="10" applyFont="1" applyFill="1" applyBorder="1" applyAlignment="1">
      <alignment vertical="center" wrapText="1"/>
    </xf>
    <xf numFmtId="0" fontId="35" fillId="8" borderId="8" xfId="10" applyFont="1" applyFill="1" applyBorder="1" applyAlignment="1">
      <alignment horizontal="left" vertical="center" wrapText="1" indent="4"/>
    </xf>
    <xf numFmtId="3" fontId="37" fillId="8" borderId="8" xfId="10" applyNumberFormat="1" applyFont="1" applyFill="1" applyBorder="1" applyAlignment="1">
      <alignment horizontal="right" vertical="center" wrapText="1"/>
    </xf>
    <xf numFmtId="3" fontId="37" fillId="8" borderId="46" xfId="10" applyNumberFormat="1" applyFont="1" applyFill="1" applyBorder="1" applyAlignment="1">
      <alignment horizontal="right" vertical="center"/>
    </xf>
    <xf numFmtId="3" fontId="37" fillId="8" borderId="8" xfId="10" applyNumberFormat="1" applyFont="1" applyFill="1" applyBorder="1" applyAlignment="1">
      <alignment horizontal="right" vertical="center"/>
    </xf>
    <xf numFmtId="3" fontId="37" fillId="8" borderId="45" xfId="10" applyNumberFormat="1" applyFont="1" applyFill="1" applyBorder="1" applyAlignment="1">
      <alignment horizontal="right" vertical="center"/>
    </xf>
    <xf numFmtId="167" fontId="35" fillId="8" borderId="8" xfId="10" applyNumberFormat="1" applyFont="1" applyFill="1" applyBorder="1" applyAlignment="1">
      <alignment horizontal="left" vertical="center" wrapText="1" indent="4"/>
    </xf>
    <xf numFmtId="49" fontId="35" fillId="8" borderId="8" xfId="10" applyNumberFormat="1" applyFont="1" applyFill="1" applyBorder="1" applyAlignment="1">
      <alignment horizontal="left" vertical="center" wrapText="1" indent="4"/>
    </xf>
    <xf numFmtId="0" fontId="37" fillId="8" borderId="26" xfId="10" applyFont="1" applyFill="1" applyBorder="1" applyAlignment="1">
      <alignment horizontal="left" vertical="center" wrapText="1"/>
    </xf>
    <xf numFmtId="3" fontId="37" fillId="8" borderId="26" xfId="10" applyNumberFormat="1" applyFont="1" applyFill="1" applyBorder="1" applyAlignment="1">
      <alignment horizontal="right" vertical="center" wrapText="1"/>
    </xf>
    <xf numFmtId="3" fontId="37" fillId="8" borderId="50" xfId="10" applyNumberFormat="1" applyFont="1" applyFill="1" applyBorder="1" applyAlignment="1">
      <alignment horizontal="right" vertical="center" wrapText="1"/>
    </xf>
    <xf numFmtId="3" fontId="11" fillId="8" borderId="9" xfId="0" applyNumberFormat="1" applyFont="1" applyFill="1" applyBorder="1" applyAlignment="1" applyProtection="1">
      <alignment vertical="center" wrapText="1"/>
      <protection locked="0"/>
    </xf>
    <xf numFmtId="3" fontId="26" fillId="8" borderId="26" xfId="10" applyNumberFormat="1" applyFont="1" applyFill="1" applyBorder="1"/>
    <xf numFmtId="0" fontId="37" fillId="9" borderId="26" xfId="10" applyFont="1" applyFill="1" applyBorder="1" applyAlignment="1">
      <alignment horizontal="left" vertical="center" wrapText="1"/>
    </xf>
    <xf numFmtId="3" fontId="37" fillId="9" borderId="26" xfId="10" applyNumberFormat="1" applyFont="1" applyFill="1" applyBorder="1" applyAlignment="1">
      <alignment horizontal="right" vertical="center" wrapText="1"/>
    </xf>
    <xf numFmtId="3" fontId="37" fillId="9" borderId="50" xfId="10" applyNumberFormat="1" applyFont="1" applyFill="1" applyBorder="1" applyAlignment="1">
      <alignment horizontal="right" vertical="center" wrapText="1"/>
    </xf>
    <xf numFmtId="0" fontId="37" fillId="9" borderId="8" xfId="10" applyFont="1" applyFill="1" applyBorder="1" applyAlignment="1">
      <alignment horizontal="left" vertical="center" wrapText="1"/>
    </xf>
    <xf numFmtId="3" fontId="37" fillId="9" borderId="8" xfId="10" applyNumberFormat="1" applyFont="1" applyFill="1" applyBorder="1" applyAlignment="1">
      <alignment horizontal="right" vertical="center" wrapText="1"/>
    </xf>
    <xf numFmtId="3" fontId="37" fillId="9" borderId="8" xfId="10" applyNumberFormat="1" applyFont="1" applyFill="1" applyBorder="1" applyAlignment="1">
      <alignment horizontal="right" vertical="center"/>
    </xf>
    <xf numFmtId="3" fontId="37" fillId="9" borderId="46" xfId="10" applyNumberFormat="1" applyFont="1" applyFill="1" applyBorder="1" applyAlignment="1">
      <alignment horizontal="right" vertical="center"/>
    </xf>
    <xf numFmtId="3" fontId="37" fillId="9" borderId="45" xfId="10" applyNumberFormat="1" applyFont="1" applyFill="1" applyBorder="1" applyAlignment="1">
      <alignment horizontal="right" vertical="center"/>
    </xf>
    <xf numFmtId="0" fontId="37" fillId="8" borderId="8" xfId="10" applyFont="1" applyFill="1" applyBorder="1" applyAlignment="1">
      <alignment horizontal="left" vertical="center" wrapText="1"/>
    </xf>
    <xf numFmtId="0" fontId="26" fillId="8" borderId="58" xfId="10" applyFont="1" applyFill="1" applyBorder="1" applyAlignment="1">
      <alignment horizontal="center" vertical="center"/>
    </xf>
    <xf numFmtId="49" fontId="37" fillId="8" borderId="45" xfId="10" applyNumberFormat="1" applyFont="1" applyFill="1" applyBorder="1" applyAlignment="1">
      <alignment horizontal="center" vertical="center"/>
    </xf>
    <xf numFmtId="49" fontId="37" fillId="8" borderId="35" xfId="1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49" fontId="17" fillId="2" borderId="26" xfId="13" applyNumberFormat="1" applyFont="1" applyFill="1" applyBorder="1" applyAlignment="1">
      <alignment horizontal="left" vertical="center"/>
    </xf>
    <xf numFmtId="165" fontId="0" fillId="0" borderId="32" xfId="0" applyNumberFormat="1" applyFill="1" applyBorder="1" applyAlignment="1">
      <alignment vertical="center" wrapText="1"/>
    </xf>
    <xf numFmtId="0" fontId="47" fillId="0" borderId="77" xfId="11" applyFont="1" applyBorder="1" applyAlignment="1">
      <alignment horizontal="left" wrapText="1"/>
    </xf>
    <xf numFmtId="3" fontId="47" fillId="0" borderId="77" xfId="11" applyNumberFormat="1" applyFont="1" applyFill="1" applyBorder="1"/>
    <xf numFmtId="0" fontId="47" fillId="0" borderId="77" xfId="11" applyFont="1" applyBorder="1" applyAlignment="1">
      <alignment wrapText="1"/>
    </xf>
    <xf numFmtId="49" fontId="37" fillId="0" borderId="8" xfId="10" applyNumberFormat="1" applyFont="1" applyFill="1" applyBorder="1" applyAlignment="1">
      <alignment horizontal="left" vertical="center"/>
    </xf>
    <xf numFmtId="0" fontId="47" fillId="0" borderId="19" xfId="11" applyFont="1" applyFill="1" applyBorder="1" applyAlignment="1">
      <alignment horizontal="left" wrapText="1"/>
    </xf>
    <xf numFmtId="0" fontId="47" fillId="0" borderId="8" xfId="11" applyFont="1" applyFill="1" applyBorder="1" applyAlignment="1">
      <alignment horizontal="left" wrapText="1"/>
    </xf>
    <xf numFmtId="3" fontId="47" fillId="0" borderId="8" xfId="11" applyNumberFormat="1" applyFont="1" applyFill="1" applyBorder="1" applyAlignment="1">
      <alignment horizontal="right" wrapText="1"/>
    </xf>
    <xf numFmtId="3" fontId="47" fillId="0" borderId="8" xfId="11" applyNumberFormat="1" applyFont="1" applyFill="1" applyBorder="1" applyAlignment="1">
      <alignment wrapText="1"/>
    </xf>
    <xf numFmtId="49" fontId="27" fillId="0" borderId="8" xfId="10" applyNumberFormat="1" applyFont="1" applyFill="1" applyBorder="1" applyAlignment="1">
      <alignment horizontal="left" vertical="center"/>
    </xf>
    <xf numFmtId="0" fontId="53" fillId="0" borderId="8" xfId="11" applyFont="1" applyFill="1" applyBorder="1" applyAlignment="1">
      <alignment horizontal="left" wrapText="1"/>
    </xf>
    <xf numFmtId="3" fontId="31" fillId="0" borderId="8" xfId="11" applyNumberFormat="1" applyFont="1" applyFill="1" applyBorder="1" applyAlignment="1">
      <alignment horizontal="right" wrapText="1"/>
    </xf>
    <xf numFmtId="3" fontId="31" fillId="0" borderId="8" xfId="11" applyNumberFormat="1" applyFont="1" applyFill="1" applyBorder="1" applyAlignment="1">
      <alignment wrapText="1"/>
    </xf>
    <xf numFmtId="0" fontId="35" fillId="0" borderId="77" xfId="11" applyFont="1" applyFill="1" applyBorder="1" applyAlignment="1">
      <alignment horizontal="left" vertical="center" wrapText="1"/>
    </xf>
    <xf numFmtId="0" fontId="37" fillId="0" borderId="77" xfId="11" applyFont="1" applyFill="1" applyBorder="1" applyAlignment="1">
      <alignment horizontal="left" vertical="center" wrapText="1"/>
    </xf>
    <xf numFmtId="165" fontId="13" fillId="2" borderId="26" xfId="0" applyNumberFormat="1" applyFont="1" applyFill="1" applyBorder="1" applyAlignment="1" applyProtection="1">
      <alignment vertical="center" wrapText="1"/>
      <protection locked="0"/>
    </xf>
    <xf numFmtId="49" fontId="17" fillId="2" borderId="26" xfId="13" applyNumberFormat="1" applyFont="1" applyFill="1" applyBorder="1" applyAlignment="1" applyProtection="1">
      <alignment horizontal="left" vertical="center"/>
      <protection locked="0"/>
    </xf>
    <xf numFmtId="1" fontId="10" fillId="0" borderId="45" xfId="0" applyNumberFormat="1" applyFont="1" applyFill="1" applyBorder="1" applyAlignment="1" applyProtection="1">
      <alignment vertical="center" wrapText="1"/>
      <protection locked="0"/>
    </xf>
    <xf numFmtId="0" fontId="47" fillId="0" borderId="77" xfId="11" applyFont="1" applyFill="1" applyBorder="1" applyAlignment="1">
      <alignment wrapText="1"/>
    </xf>
    <xf numFmtId="0" fontId="47" fillId="8" borderId="77" xfId="11" applyFont="1" applyFill="1" applyBorder="1" applyAlignment="1">
      <alignment wrapText="1"/>
    </xf>
    <xf numFmtId="3" fontId="47" fillId="8" borderId="77" xfId="11" applyNumberFormat="1" applyFont="1" applyFill="1" applyBorder="1"/>
    <xf numFmtId="0" fontId="47" fillId="0" borderId="19" xfId="11" applyFont="1" applyBorder="1" applyAlignment="1">
      <alignment wrapText="1"/>
    </xf>
    <xf numFmtId="165" fontId="10" fillId="0" borderId="19" xfId="0" applyNumberFormat="1" applyFont="1" applyFill="1" applyBorder="1" applyAlignment="1" applyProtection="1">
      <alignment vertical="center" wrapText="1"/>
      <protection locked="0"/>
    </xf>
    <xf numFmtId="0" fontId="47" fillId="0" borderId="19" xfId="11" applyFont="1" applyFill="1" applyBorder="1" applyAlignment="1">
      <alignment wrapText="1"/>
    </xf>
    <xf numFmtId="3" fontId="35" fillId="0" borderId="77" xfId="11" applyNumberFormat="1" applyFont="1" applyFill="1" applyBorder="1"/>
    <xf numFmtId="3" fontId="17" fillId="2" borderId="26" xfId="13" applyNumberFormat="1" applyFont="1" applyFill="1" applyBorder="1" applyAlignment="1">
      <alignment horizontal="right" vertical="center"/>
    </xf>
    <xf numFmtId="165" fontId="24" fillId="2" borderId="26" xfId="0" applyNumberFormat="1" applyFont="1" applyFill="1" applyBorder="1" applyAlignment="1" applyProtection="1">
      <alignment horizontal="right" vertical="center" wrapText="1"/>
    </xf>
    <xf numFmtId="0" fontId="47" fillId="0" borderId="45" xfId="11" applyFont="1" applyBorder="1" applyAlignment="1">
      <alignment horizontal="center" wrapText="1"/>
    </xf>
    <xf numFmtId="3" fontId="29" fillId="6" borderId="85" xfId="20" applyNumberFormat="1" applyFont="1" applyFill="1" applyBorder="1" applyAlignment="1">
      <alignment horizontal="center" vertical="center" wrapText="1"/>
    </xf>
    <xf numFmtId="170" fontId="29" fillId="6" borderId="86" xfId="20" applyNumberFormat="1" applyFont="1" applyFill="1" applyBorder="1" applyAlignment="1">
      <alignment horizontal="center" vertical="center" wrapText="1"/>
    </xf>
    <xf numFmtId="3" fontId="12" fillId="6" borderId="87" xfId="20" applyNumberFormat="1" applyFont="1" applyFill="1" applyBorder="1" applyAlignment="1">
      <alignment horizontal="center" vertical="center" wrapText="1"/>
    </xf>
    <xf numFmtId="0" fontId="13" fillId="0" borderId="90" xfId="20" applyFont="1" applyBorder="1" applyAlignment="1">
      <alignment vertical="center" wrapText="1"/>
    </xf>
    <xf numFmtId="3" fontId="64" fillId="0" borderId="91" xfId="20" applyNumberFormat="1" applyFont="1" applyBorder="1" applyAlignment="1"/>
    <xf numFmtId="3" fontId="65" fillId="0" borderId="92" xfId="20" applyNumberFormat="1" applyFont="1" applyBorder="1"/>
    <xf numFmtId="0" fontId="13" fillId="0" borderId="93" xfId="20" applyFont="1" applyBorder="1" applyAlignment="1">
      <alignment horizontal="center" vertical="center"/>
    </xf>
    <xf numFmtId="0" fontId="59" fillId="0" borderId="93" xfId="20" applyFont="1" applyBorder="1" applyAlignment="1">
      <alignment horizontal="center" vertical="center"/>
    </xf>
    <xf numFmtId="0" fontId="63" fillId="0" borderId="95" xfId="20" applyFont="1" applyBorder="1" applyAlignment="1">
      <alignment horizontal="center" vertical="center" wrapText="1"/>
    </xf>
    <xf numFmtId="0" fontId="21" fillId="0" borderId="96" xfId="20" applyFont="1" applyBorder="1" applyAlignment="1">
      <alignment vertical="center" wrapText="1"/>
    </xf>
    <xf numFmtId="0" fontId="63" fillId="0" borderId="93" xfId="20" applyFont="1" applyBorder="1" applyAlignment="1">
      <alignment horizontal="center" vertical="center"/>
    </xf>
    <xf numFmtId="0" fontId="21" fillId="6" borderId="80" xfId="20" applyFont="1" applyFill="1" applyBorder="1" applyAlignment="1">
      <alignment horizontal="center" vertical="center"/>
    </xf>
    <xf numFmtId="0" fontId="21" fillId="6" borderId="81" xfId="20" applyFont="1" applyFill="1" applyBorder="1" applyAlignment="1">
      <alignment horizontal="center" vertical="center"/>
    </xf>
    <xf numFmtId="0" fontId="21" fillId="6" borderId="84" xfId="20" applyFont="1" applyFill="1" applyBorder="1" applyAlignment="1">
      <alignment horizontal="center" vertical="center"/>
    </xf>
    <xf numFmtId="174" fontId="9" fillId="0" borderId="0" xfId="20" applyNumberFormat="1"/>
    <xf numFmtId="165" fontId="15" fillId="0" borderId="0" xfId="23" applyNumberFormat="1" applyFont="1" applyFill="1" applyAlignment="1">
      <alignment horizontal="center" vertical="center" wrapText="1"/>
    </xf>
    <xf numFmtId="165" fontId="15" fillId="0" borderId="0" xfId="23" applyNumberFormat="1" applyFont="1" applyFill="1" applyAlignment="1">
      <alignment vertical="center" wrapText="1"/>
    </xf>
    <xf numFmtId="165" fontId="63" fillId="0" borderId="0" xfId="23" applyNumberFormat="1" applyFont="1" applyFill="1" applyAlignment="1">
      <alignment horizontal="right" vertical="center"/>
    </xf>
    <xf numFmtId="165" fontId="24" fillId="0" borderId="90" xfId="23" applyNumberFormat="1" applyFont="1" applyFill="1" applyBorder="1" applyAlignment="1">
      <alignment horizontal="centerContinuous" vertical="center" wrapText="1"/>
    </xf>
    <xf numFmtId="165" fontId="24" fillId="0" borderId="89" xfId="23" applyNumberFormat="1" applyFont="1" applyFill="1" applyBorder="1" applyAlignment="1">
      <alignment horizontal="centerContinuous" vertical="center"/>
    </xf>
    <xf numFmtId="165" fontId="24" fillId="0" borderId="97" xfId="23" applyNumberFormat="1" applyFont="1" applyFill="1" applyBorder="1" applyAlignment="1">
      <alignment horizontal="centerContinuous" vertical="center"/>
    </xf>
    <xf numFmtId="165" fontId="24" fillId="0" borderId="0" xfId="23" applyNumberFormat="1" applyFont="1" applyFill="1" applyAlignment="1">
      <alignment vertical="center"/>
    </xf>
    <xf numFmtId="165" fontId="24" fillId="0" borderId="0" xfId="23" applyNumberFormat="1" applyFont="1" applyFill="1" applyAlignment="1">
      <alignment horizontal="center" vertical="center"/>
    </xf>
    <xf numFmtId="165" fontId="57" fillId="0" borderId="80" xfId="23" applyNumberFormat="1" applyFont="1" applyFill="1" applyBorder="1" applyAlignment="1">
      <alignment horizontal="center" vertical="center" wrapText="1"/>
    </xf>
    <xf numFmtId="165" fontId="57" fillId="0" borderId="98" xfId="23" applyNumberFormat="1" applyFont="1" applyFill="1" applyBorder="1" applyAlignment="1">
      <alignment horizontal="center" vertical="center" wrapText="1"/>
    </xf>
    <xf numFmtId="165" fontId="57" fillId="0" borderId="105" xfId="23" applyNumberFormat="1" applyFont="1" applyFill="1" applyBorder="1" applyAlignment="1">
      <alignment horizontal="center" vertical="center" wrapText="1"/>
    </xf>
    <xf numFmtId="165" fontId="57" fillId="0" borderId="87" xfId="23" applyNumberFormat="1" applyFont="1" applyFill="1" applyBorder="1" applyAlignment="1">
      <alignment horizontal="center" vertical="center" wrapText="1"/>
    </xf>
    <xf numFmtId="165" fontId="57" fillId="0" borderId="0" xfId="23" applyNumberFormat="1" applyFont="1" applyFill="1" applyAlignment="1">
      <alignment horizontal="center" vertical="center" wrapText="1"/>
    </xf>
    <xf numFmtId="165" fontId="13" fillId="0" borderId="85" xfId="23" applyNumberFormat="1" applyFont="1" applyFill="1" applyBorder="1" applyAlignment="1">
      <alignment horizontal="center" vertical="center" wrapText="1"/>
    </xf>
    <xf numFmtId="165" fontId="13" fillId="0" borderId="98" xfId="23" applyNumberFormat="1" applyFont="1" applyFill="1" applyBorder="1" applyAlignment="1">
      <alignment horizontal="left" vertical="center" wrapText="1" indent="1"/>
    </xf>
    <xf numFmtId="165" fontId="10" fillId="0" borderId="98" xfId="23" applyNumberFormat="1" applyFont="1" applyFill="1" applyBorder="1" applyAlignment="1">
      <alignment horizontal="left" vertical="center" wrapText="1" indent="2"/>
    </xf>
    <xf numFmtId="165" fontId="10" fillId="0" borderId="106" xfId="23" applyNumberFormat="1" applyFont="1" applyFill="1" applyBorder="1" applyAlignment="1">
      <alignment horizontal="left" vertical="center" wrapText="1" indent="2"/>
    </xf>
    <xf numFmtId="165" fontId="13" fillId="0" borderId="85" xfId="23" applyNumberFormat="1" applyFont="1" applyFill="1" applyBorder="1" applyAlignment="1">
      <alignment vertical="center" wrapText="1"/>
    </xf>
    <xf numFmtId="165" fontId="13" fillId="0" borderId="86" xfId="23" applyNumberFormat="1" applyFont="1" applyFill="1" applyBorder="1" applyAlignment="1">
      <alignment vertical="center" wrapText="1"/>
    </xf>
    <xf numFmtId="165" fontId="13" fillId="0" borderId="87" xfId="23" applyNumberFormat="1" applyFont="1" applyFill="1" applyBorder="1" applyAlignment="1">
      <alignment vertical="center" wrapText="1"/>
    </xf>
    <xf numFmtId="165" fontId="10" fillId="0" borderId="0" xfId="23" applyNumberFormat="1" applyFont="1" applyFill="1" applyAlignment="1">
      <alignment vertical="center" wrapText="1"/>
    </xf>
    <xf numFmtId="165" fontId="13" fillId="0" borderId="108" xfId="23" applyNumberFormat="1" applyFont="1" applyFill="1" applyBorder="1" applyAlignment="1">
      <alignment horizontal="center" vertical="center" wrapText="1"/>
    </xf>
    <xf numFmtId="165" fontId="13" fillId="0" borderId="98" xfId="23" applyNumberFormat="1" applyFont="1" applyFill="1" applyBorder="1" applyAlignment="1">
      <alignment horizontal="center" vertical="center" wrapText="1"/>
    </xf>
    <xf numFmtId="165" fontId="24" fillId="0" borderId="85" xfId="23" applyNumberFormat="1" applyFont="1" applyFill="1" applyBorder="1" applyAlignment="1">
      <alignment horizontal="center" vertical="center" wrapText="1"/>
    </xf>
    <xf numFmtId="165" fontId="24" fillId="0" borderId="98" xfId="23" applyNumberFormat="1" applyFont="1" applyFill="1" applyBorder="1" applyAlignment="1">
      <alignment horizontal="left" vertical="center" wrapText="1" indent="1"/>
    </xf>
    <xf numFmtId="165" fontId="23" fillId="10" borderId="98" xfId="23" applyNumberFormat="1" applyFont="1" applyFill="1" applyBorder="1" applyAlignment="1">
      <alignment horizontal="left" vertical="center" wrapText="1" indent="2"/>
    </xf>
    <xf numFmtId="165" fontId="23" fillId="10" borderId="106" xfId="23" applyNumberFormat="1" applyFont="1" applyFill="1" applyBorder="1" applyAlignment="1">
      <alignment horizontal="left" vertical="center" wrapText="1" indent="2"/>
    </xf>
    <xf numFmtId="165" fontId="24" fillId="0" borderId="85" xfId="23" applyNumberFormat="1" applyFont="1" applyFill="1" applyBorder="1" applyAlignment="1">
      <alignment vertical="center" wrapText="1"/>
    </xf>
    <xf numFmtId="165" fontId="23" fillId="0" borderId="0" xfId="23" applyNumberFormat="1" applyFont="1" applyFill="1" applyAlignment="1">
      <alignment vertical="center" wrapText="1"/>
    </xf>
    <xf numFmtId="165" fontId="64" fillId="0" borderId="0" xfId="23" applyNumberFormat="1" applyFill="1" applyAlignment="1">
      <alignment horizontal="center" vertical="center" wrapText="1"/>
    </xf>
    <xf numFmtId="165" fontId="64" fillId="0" borderId="0" xfId="23" applyNumberFormat="1" applyFill="1" applyAlignment="1">
      <alignment vertical="center" wrapText="1"/>
    </xf>
    <xf numFmtId="165" fontId="52" fillId="0" borderId="0" xfId="23" applyNumberFormat="1" applyFont="1" applyFill="1" applyAlignment="1">
      <alignment horizontal="right"/>
    </xf>
    <xf numFmtId="165" fontId="57" fillId="0" borderId="93" xfId="23" applyNumberFormat="1" applyFont="1" applyFill="1" applyBorder="1" applyAlignment="1">
      <alignment horizontal="center" vertical="center" wrapText="1"/>
    </xf>
    <xf numFmtId="165" fontId="10" fillId="0" borderId="86" xfId="23" applyNumberFormat="1" applyFont="1" applyFill="1" applyBorder="1" applyAlignment="1" applyProtection="1">
      <alignment horizontal="left" vertical="center" wrapText="1" indent="2"/>
    </xf>
    <xf numFmtId="165" fontId="10" fillId="0" borderId="98" xfId="23" applyNumberFormat="1" applyFont="1" applyFill="1" applyBorder="1" applyAlignment="1" applyProtection="1">
      <alignment vertical="center" wrapText="1"/>
    </xf>
    <xf numFmtId="165" fontId="10" fillId="0" borderId="86" xfId="23" applyNumberFormat="1" applyFont="1" applyFill="1" applyBorder="1" applyAlignment="1" applyProtection="1">
      <alignment vertical="center" wrapText="1"/>
    </xf>
    <xf numFmtId="165" fontId="10" fillId="0" borderId="105" xfId="23" applyNumberFormat="1" applyFont="1" applyFill="1" applyBorder="1" applyAlignment="1" applyProtection="1">
      <alignment vertical="center" wrapText="1"/>
    </xf>
    <xf numFmtId="165" fontId="10" fillId="0" borderId="87" xfId="23" applyNumberFormat="1" applyFont="1" applyFill="1" applyBorder="1" applyAlignment="1" applyProtection="1">
      <alignment vertical="center" wrapText="1"/>
    </xf>
    <xf numFmtId="165" fontId="10" fillId="0" borderId="98" xfId="23" applyNumberFormat="1" applyFont="1" applyFill="1" applyBorder="1" applyAlignment="1">
      <alignment vertical="center" wrapText="1"/>
    </xf>
    <xf numFmtId="165" fontId="13" fillId="0" borderId="98" xfId="23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98" xfId="23" applyNumberFormat="1" applyFont="1" applyFill="1" applyBorder="1" applyAlignment="1">
      <alignment horizontal="left" vertical="center" wrapText="1" indent="1"/>
    </xf>
    <xf numFmtId="165" fontId="10" fillId="0" borderId="0" xfId="23" applyNumberFormat="1" applyFont="1" applyFill="1" applyAlignment="1" applyProtection="1">
      <alignment vertical="center" wrapText="1"/>
      <protection locked="0"/>
    </xf>
    <xf numFmtId="49" fontId="71" fillId="0" borderId="0" xfId="23" applyNumberFormat="1" applyFont="1" applyFill="1" applyAlignment="1">
      <alignment vertical="center" wrapText="1"/>
    </xf>
    <xf numFmtId="49" fontId="62" fillId="0" borderId="0" xfId="23" applyNumberFormat="1" applyFont="1" applyFill="1" applyAlignment="1">
      <alignment wrapText="1"/>
    </xf>
    <xf numFmtId="0" fontId="62" fillId="0" borderId="0" xfId="23" applyNumberFormat="1" applyFont="1" applyFill="1" applyAlignment="1">
      <alignment wrapText="1"/>
    </xf>
    <xf numFmtId="165" fontId="71" fillId="0" borderId="0" xfId="23" applyNumberFormat="1" applyFont="1" applyFill="1" applyAlignment="1">
      <alignment vertical="center" wrapText="1"/>
    </xf>
    <xf numFmtId="165" fontId="72" fillId="0" borderId="0" xfId="23" applyNumberFormat="1" applyFont="1" applyFill="1" applyAlignment="1">
      <alignment vertical="center" wrapText="1"/>
    </xf>
    <xf numFmtId="165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0" xfId="26"/>
    <xf numFmtId="0" fontId="74" fillId="0" borderId="0" xfId="26" applyFont="1" applyAlignment="1">
      <alignment horizontal="center"/>
    </xf>
    <xf numFmtId="0" fontId="75" fillId="0" borderId="0" xfId="26" applyFont="1" applyAlignment="1">
      <alignment horizontal="center"/>
    </xf>
    <xf numFmtId="0" fontId="38" fillId="0" borderId="114" xfId="26" applyFont="1" applyBorder="1"/>
    <xf numFmtId="0" fontId="38" fillId="0" borderId="91" xfId="26" applyFont="1" applyBorder="1"/>
    <xf numFmtId="0" fontId="38" fillId="0" borderId="92" xfId="26" applyFont="1" applyBorder="1"/>
    <xf numFmtId="0" fontId="76" fillId="0" borderId="107" xfId="26" applyFont="1" applyBorder="1"/>
    <xf numFmtId="0" fontId="38" fillId="0" borderId="112" xfId="26" applyFont="1" applyBorder="1"/>
    <xf numFmtId="0" fontId="38" fillId="0" borderId="113" xfId="26" applyFont="1" applyBorder="1"/>
    <xf numFmtId="0" fontId="38" fillId="0" borderId="107" xfId="26" applyFont="1" applyBorder="1"/>
    <xf numFmtId="49" fontId="76" fillId="0" borderId="112" xfId="26" applyNumberFormat="1" applyFont="1" applyBorder="1" applyAlignment="1">
      <alignment horizontal="center"/>
    </xf>
    <xf numFmtId="49" fontId="76" fillId="0" borderId="113" xfId="26" applyNumberFormat="1" applyFont="1" applyBorder="1" applyAlignment="1">
      <alignment horizontal="center"/>
    </xf>
    <xf numFmtId="49" fontId="38" fillId="0" borderId="112" xfId="26" applyNumberFormat="1" applyFont="1" applyBorder="1"/>
    <xf numFmtId="49" fontId="38" fillId="0" borderId="113" xfId="26" applyNumberFormat="1" applyFont="1" applyBorder="1"/>
    <xf numFmtId="0" fontId="78" fillId="0" borderId="107" xfId="26" applyFont="1" applyBorder="1"/>
    <xf numFmtId="49" fontId="38" fillId="0" borderId="112" xfId="26" applyNumberFormat="1" applyFont="1" applyBorder="1" applyAlignment="1">
      <alignment horizontal="center"/>
    </xf>
    <xf numFmtId="49" fontId="38" fillId="0" borderId="113" xfId="26" applyNumberFormat="1" applyFont="1" applyBorder="1" applyAlignment="1">
      <alignment horizontal="center"/>
    </xf>
    <xf numFmtId="49" fontId="38" fillId="0" borderId="102" xfId="26" applyNumberFormat="1" applyFont="1" applyBorder="1" applyAlignment="1">
      <alignment horizontal="center" wrapText="1"/>
    </xf>
    <xf numFmtId="0" fontId="38" fillId="0" borderId="110" xfId="26" applyFont="1" applyBorder="1" applyAlignment="1">
      <alignment horizontal="center" wrapText="1"/>
    </xf>
    <xf numFmtId="0" fontId="77" fillId="0" borderId="107" xfId="26" applyFont="1" applyBorder="1"/>
    <xf numFmtId="49" fontId="78" fillId="0" borderId="107" xfId="26" applyNumberFormat="1" applyFont="1" applyBorder="1"/>
    <xf numFmtId="3" fontId="38" fillId="0" borderId="113" xfId="26" applyNumberFormat="1" applyFont="1" applyBorder="1" applyAlignment="1">
      <alignment horizontal="center"/>
    </xf>
    <xf numFmtId="49" fontId="79" fillId="0" borderId="0" xfId="26" applyNumberFormat="1" applyFont="1"/>
    <xf numFmtId="49" fontId="73" fillId="0" borderId="0" xfId="26" applyNumberFormat="1"/>
    <xf numFmtId="175" fontId="73" fillId="0" borderId="0" xfId="26" applyNumberFormat="1"/>
    <xf numFmtId="0" fontId="78" fillId="0" borderId="107" xfId="26" applyFont="1" applyBorder="1" applyAlignment="1">
      <alignment wrapText="1"/>
    </xf>
    <xf numFmtId="49" fontId="58" fillId="0" borderId="117" xfId="17" applyNumberFormat="1" applyFont="1" applyFill="1" applyBorder="1" applyAlignment="1">
      <alignment horizontal="left" vertical="center" indent="1"/>
    </xf>
    <xf numFmtId="49" fontId="10" fillId="0" borderId="117" xfId="17" applyNumberFormat="1" applyFont="1" applyFill="1" applyBorder="1" applyAlignment="1">
      <alignment vertical="center"/>
    </xf>
    <xf numFmtId="49" fontId="14" fillId="0" borderId="118" xfId="17" applyNumberFormat="1" applyFont="1" applyFill="1" applyBorder="1" applyAlignment="1" applyProtection="1">
      <alignment vertical="center"/>
      <protection locked="0"/>
    </xf>
    <xf numFmtId="49" fontId="14" fillId="0" borderId="117" xfId="17" applyNumberFormat="1" applyFont="1" applyFill="1" applyBorder="1" applyAlignment="1" applyProtection="1">
      <alignment vertical="center"/>
      <protection locked="0"/>
    </xf>
    <xf numFmtId="165" fontId="12" fillId="0" borderId="43" xfId="0" applyNumberFormat="1" applyFont="1" applyFill="1" applyBorder="1" applyAlignment="1">
      <alignment vertical="center" wrapText="1"/>
    </xf>
    <xf numFmtId="165" fontId="12" fillId="0" borderId="4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5" fontId="17" fillId="2" borderId="8" xfId="13" applyNumberFormat="1" applyFont="1" applyFill="1" applyBorder="1" applyAlignment="1">
      <alignment horizontal="right" vertical="center"/>
    </xf>
    <xf numFmtId="0" fontId="17" fillId="2" borderId="8" xfId="13" applyNumberFormat="1" applyFont="1" applyFill="1" applyBorder="1" applyAlignment="1">
      <alignment horizontal="right" vertical="center"/>
    </xf>
    <xf numFmtId="3" fontId="40" fillId="0" borderId="45" xfId="10" applyNumberFormat="1" applyFont="1" applyBorder="1" applyAlignment="1" applyProtection="1">
      <alignment horizontal="right" vertical="center" wrapText="1"/>
      <protection locked="0"/>
    </xf>
    <xf numFmtId="0" fontId="26" fillId="8" borderId="66" xfId="10" applyFont="1" applyFill="1" applyBorder="1" applyAlignment="1">
      <alignment horizontal="center" vertical="center"/>
    </xf>
    <xf numFmtId="49" fontId="37" fillId="8" borderId="35" xfId="10" applyNumberFormat="1" applyFont="1" applyFill="1" applyBorder="1" applyAlignment="1">
      <alignment horizontal="center" vertical="center"/>
    </xf>
    <xf numFmtId="49" fontId="35" fillId="8" borderId="45" xfId="10" applyNumberFormat="1" applyFont="1" applyFill="1" applyBorder="1" applyAlignment="1">
      <alignment horizontal="center" vertical="center"/>
    </xf>
    <xf numFmtId="3" fontId="35" fillId="8" borderId="8" xfId="10" applyNumberFormat="1" applyFont="1" applyFill="1" applyBorder="1" applyAlignment="1">
      <alignment horizontal="right" vertical="center" wrapText="1"/>
    </xf>
    <xf numFmtId="0" fontId="17" fillId="0" borderId="54" xfId="10" applyFont="1" applyBorder="1" applyAlignment="1">
      <alignment horizontal="center"/>
    </xf>
    <xf numFmtId="3" fontId="17" fillId="2" borderId="124" xfId="13" applyNumberFormat="1" applyFont="1" applyFill="1" applyBorder="1" applyAlignment="1">
      <alignment vertical="center"/>
    </xf>
    <xf numFmtId="3" fontId="17" fillId="2" borderId="125" xfId="13" applyNumberFormat="1" applyFont="1" applyFill="1" applyBorder="1" applyAlignment="1">
      <alignment vertical="center"/>
    </xf>
    <xf numFmtId="0" fontId="26" fillId="2" borderId="7" xfId="13" applyFont="1" applyFill="1" applyBorder="1" applyAlignment="1">
      <alignment horizontal="center" vertical="center"/>
    </xf>
    <xf numFmtId="3" fontId="57" fillId="0" borderId="35" xfId="0" applyNumberFormat="1" applyFont="1" applyFill="1" applyBorder="1" applyAlignment="1">
      <alignment horizontal="right" vertical="center" wrapText="1"/>
    </xf>
    <xf numFmtId="3" fontId="57" fillId="0" borderId="76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Alignment="1">
      <alignment horizontal="left" vertical="center" wrapText="1"/>
    </xf>
    <xf numFmtId="3" fontId="57" fillId="0" borderId="140" xfId="0" applyNumberFormat="1" applyFont="1" applyFill="1" applyBorder="1" applyAlignment="1">
      <alignment horizontal="right" vertical="center" wrapText="1"/>
    </xf>
    <xf numFmtId="165" fontId="23" fillId="0" borderId="139" xfId="0" applyNumberFormat="1" applyFont="1" applyFill="1" applyBorder="1" applyAlignment="1">
      <alignment horizontal="left" vertical="center" wrapText="1"/>
    </xf>
    <xf numFmtId="165" fontId="0" fillId="0" borderId="139" xfId="0" applyNumberFormat="1" applyFill="1" applyBorder="1" applyAlignment="1">
      <alignment vertical="center" wrapText="1"/>
    </xf>
    <xf numFmtId="165" fontId="0" fillId="0" borderId="139" xfId="0" applyNumberFormat="1" applyFill="1" applyBorder="1" applyAlignment="1">
      <alignment horizontal="center" vertical="center" wrapText="1"/>
    </xf>
    <xf numFmtId="165" fontId="57" fillId="0" borderId="141" xfId="0" applyNumberFormat="1" applyFont="1" applyFill="1" applyBorder="1" applyAlignment="1">
      <alignment horizontal="left" vertical="center" wrapText="1"/>
    </xf>
    <xf numFmtId="165" fontId="0" fillId="0" borderId="142" xfId="0" applyNumberFormat="1" applyFill="1" applyBorder="1" applyAlignment="1">
      <alignment horizontal="center" vertical="center" wrapText="1"/>
    </xf>
    <xf numFmtId="165" fontId="0" fillId="0" borderId="143" xfId="0" applyNumberFormat="1" applyFill="1" applyBorder="1" applyAlignment="1">
      <alignment vertical="center" wrapText="1"/>
    </xf>
    <xf numFmtId="165" fontId="23" fillId="0" borderId="143" xfId="0" applyNumberFormat="1" applyFont="1" applyFill="1" applyBorder="1" applyAlignment="1">
      <alignment horizontal="left" vertical="center" wrapText="1"/>
    </xf>
    <xf numFmtId="165" fontId="0" fillId="0" borderId="143" xfId="0" applyNumberFormat="1" applyFill="1" applyBorder="1" applyAlignment="1">
      <alignment horizontal="center" vertical="center" wrapText="1"/>
    </xf>
    <xf numFmtId="165" fontId="24" fillId="0" borderId="144" xfId="0" applyNumberFormat="1" applyFont="1" applyFill="1" applyBorder="1" applyAlignment="1">
      <alignment horizontal="left" vertical="center" wrapText="1"/>
    </xf>
    <xf numFmtId="165" fontId="0" fillId="0" borderId="145" xfId="0" applyNumberFormat="1" applyFill="1" applyBorder="1" applyAlignment="1">
      <alignment vertical="center" wrapText="1"/>
    </xf>
    <xf numFmtId="165" fontId="24" fillId="0" borderId="146" xfId="0" applyNumberFormat="1" applyFont="1" applyFill="1" applyBorder="1" applyAlignment="1">
      <alignment horizontal="left" vertical="center" wrapText="1"/>
    </xf>
    <xf numFmtId="165" fontId="13" fillId="0" borderId="147" xfId="0" applyNumberFormat="1" applyFont="1" applyFill="1" applyBorder="1" applyAlignment="1" applyProtection="1">
      <alignment vertical="center" wrapText="1"/>
    </xf>
    <xf numFmtId="165" fontId="13" fillId="0" borderId="148" xfId="0" applyNumberFormat="1" applyFont="1" applyFill="1" applyBorder="1" applyAlignment="1" applyProtection="1">
      <alignment vertical="center" wrapText="1"/>
    </xf>
    <xf numFmtId="165" fontId="24" fillId="0" borderId="149" xfId="0" applyNumberFormat="1" applyFont="1" applyFill="1" applyBorder="1" applyAlignment="1">
      <alignment horizontal="left" vertical="center" wrapText="1"/>
    </xf>
    <xf numFmtId="165" fontId="13" fillId="0" borderId="150" xfId="0" applyNumberFormat="1" applyFont="1" applyFill="1" applyBorder="1" applyAlignment="1" applyProtection="1">
      <alignment vertical="center" wrapText="1"/>
    </xf>
    <xf numFmtId="165" fontId="13" fillId="0" borderId="151" xfId="0" applyNumberFormat="1" applyFont="1" applyFill="1" applyBorder="1" applyAlignment="1" applyProtection="1">
      <alignment vertical="center" wrapText="1"/>
    </xf>
    <xf numFmtId="165" fontId="24" fillId="0" borderId="152" xfId="0" applyNumberFormat="1" applyFont="1" applyFill="1" applyBorder="1" applyAlignment="1">
      <alignment horizontal="left" vertical="center" wrapText="1"/>
    </xf>
    <xf numFmtId="3" fontId="57" fillId="0" borderId="153" xfId="0" applyNumberFormat="1" applyFont="1" applyFill="1" applyBorder="1" applyAlignment="1">
      <alignment horizontal="right" vertical="center" wrapText="1"/>
    </xf>
    <xf numFmtId="165" fontId="23" fillId="0" borderId="154" xfId="0" applyNumberFormat="1" applyFont="1" applyFill="1" applyBorder="1" applyAlignment="1">
      <alignment horizontal="left" vertical="center" wrapText="1"/>
    </xf>
    <xf numFmtId="165" fontId="24" fillId="0" borderId="156" xfId="23" applyNumberFormat="1" applyFont="1" applyFill="1" applyBorder="1" applyAlignment="1">
      <alignment horizontal="center" vertical="center" wrapText="1"/>
    </xf>
    <xf numFmtId="0" fontId="33" fillId="0" borderId="157" xfId="10" applyFont="1" applyBorder="1"/>
    <xf numFmtId="0" fontId="33" fillId="0" borderId="158" xfId="10" applyFont="1" applyBorder="1"/>
    <xf numFmtId="49" fontId="37" fillId="0" borderId="158" xfId="10" applyNumberFormat="1" applyFont="1" applyBorder="1"/>
    <xf numFmtId="0" fontId="37" fillId="0" borderId="159" xfId="10" applyFont="1" applyBorder="1" applyAlignment="1">
      <alignment horizontal="left" indent="6"/>
    </xf>
    <xf numFmtId="3" fontId="37" fillId="0" borderId="159" xfId="10" applyNumberFormat="1" applyFont="1" applyFill="1" applyBorder="1"/>
    <xf numFmtId="3" fontId="37" fillId="0" borderId="159" xfId="10" applyNumberFormat="1" applyFont="1" applyBorder="1"/>
    <xf numFmtId="0" fontId="47" fillId="0" borderId="8" xfId="11" applyFont="1" applyBorder="1" applyAlignment="1">
      <alignment horizontal="right" wrapText="1"/>
    </xf>
    <xf numFmtId="0" fontId="33" fillId="0" borderId="160" xfId="10" applyFont="1" applyBorder="1"/>
    <xf numFmtId="0" fontId="33" fillId="0" borderId="161" xfId="10" applyFont="1" applyBorder="1"/>
    <xf numFmtId="3" fontId="37" fillId="0" borderId="162" xfId="10" applyNumberFormat="1" applyFont="1" applyBorder="1"/>
    <xf numFmtId="165" fontId="13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vertical="center" wrapText="1"/>
    </xf>
    <xf numFmtId="165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Alignment="1" applyProtection="1">
      <alignment vertical="center" wrapText="1"/>
    </xf>
    <xf numFmtId="165" fontId="71" fillId="0" borderId="163" xfId="0" applyNumberFormat="1" applyFont="1" applyFill="1" applyBorder="1" applyAlignment="1">
      <alignment vertical="center" wrapText="1"/>
    </xf>
    <xf numFmtId="0" fontId="12" fillId="0" borderId="164" xfId="0" applyFont="1" applyFill="1" applyBorder="1" applyAlignment="1" applyProtection="1">
      <alignment horizontal="center" vertical="center" wrapText="1"/>
    </xf>
    <xf numFmtId="3" fontId="11" fillId="0" borderId="165" xfId="0" applyNumberFormat="1" applyFont="1" applyFill="1" applyBorder="1" applyAlignment="1" applyProtection="1">
      <alignment vertical="center" wrapText="1"/>
      <protection locked="0"/>
    </xf>
    <xf numFmtId="165" fontId="65" fillId="0" borderId="0" xfId="0" applyNumberFormat="1" applyFont="1" applyFill="1" applyAlignment="1">
      <alignment horizontal="center" vertical="center" wrapText="1"/>
    </xf>
    <xf numFmtId="3" fontId="65" fillId="0" borderId="0" xfId="0" applyNumberFormat="1" applyFont="1" applyFill="1" applyAlignment="1">
      <alignment vertical="center" wrapText="1"/>
    </xf>
    <xf numFmtId="0" fontId="26" fillId="0" borderId="166" xfId="10" applyFont="1" applyBorder="1"/>
    <xf numFmtId="49" fontId="26" fillId="0" borderId="167" xfId="10" applyNumberFormat="1" applyFont="1" applyBorder="1"/>
    <xf numFmtId="0" fontId="37" fillId="0" borderId="168" xfId="10" applyFont="1" applyFill="1" applyBorder="1" applyAlignment="1">
      <alignment vertical="center" wrapText="1"/>
    </xf>
    <xf numFmtId="3" fontId="37" fillId="0" borderId="168" xfId="10" applyNumberFormat="1" applyFont="1" applyBorder="1"/>
    <xf numFmtId="3" fontId="10" fillId="0" borderId="0" xfId="0" applyNumberFormat="1" applyFont="1" applyFill="1" applyAlignment="1">
      <alignment vertical="center" wrapText="1"/>
    </xf>
    <xf numFmtId="165" fontId="81" fillId="0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Fill="1" applyAlignment="1">
      <alignment vertical="center" wrapText="1"/>
    </xf>
    <xf numFmtId="0" fontId="10" fillId="0" borderId="169" xfId="0" applyFont="1" applyBorder="1" applyAlignment="1" applyProtection="1">
      <alignment horizontal="left" vertical="center" indent="1"/>
      <protection locked="0"/>
    </xf>
    <xf numFmtId="49" fontId="17" fillId="7" borderId="171" xfId="13" applyNumberFormat="1" applyFont="1" applyFill="1" applyBorder="1" applyAlignment="1">
      <alignment horizontal="left" vertical="center"/>
    </xf>
    <xf numFmtId="49" fontId="37" fillId="8" borderId="171" xfId="10" applyNumberFormat="1" applyFont="1" applyFill="1" applyBorder="1" applyAlignment="1">
      <alignment horizontal="left" vertical="center"/>
    </xf>
    <xf numFmtId="165" fontId="0" fillId="8" borderId="171" xfId="0" applyNumberFormat="1" applyFill="1" applyBorder="1" applyAlignment="1">
      <alignment vertical="center" wrapText="1"/>
    </xf>
    <xf numFmtId="165" fontId="10" fillId="0" borderId="172" xfId="0" applyNumberFormat="1" applyFont="1" applyFill="1" applyBorder="1" applyAlignment="1" applyProtection="1">
      <alignment vertical="center" wrapText="1"/>
      <protection locked="0"/>
    </xf>
    <xf numFmtId="1" fontId="62" fillId="0" borderId="172" xfId="0" applyNumberFormat="1" applyFont="1" applyFill="1" applyBorder="1" applyAlignment="1" applyProtection="1">
      <alignment vertical="center" wrapText="1"/>
      <protection locked="0"/>
    </xf>
    <xf numFmtId="3" fontId="33" fillId="2" borderId="172" xfId="13" applyNumberFormat="1" applyFont="1" applyFill="1" applyBorder="1" applyAlignment="1">
      <alignment horizontal="right" vertical="center"/>
    </xf>
    <xf numFmtId="165" fontId="10" fillId="0" borderId="170" xfId="0" applyNumberFormat="1" applyFont="1" applyFill="1" applyBorder="1" applyAlignment="1" applyProtection="1">
      <alignment vertical="center" wrapText="1"/>
      <protection locked="0"/>
    </xf>
    <xf numFmtId="0" fontId="37" fillId="0" borderId="173" xfId="11" applyFont="1" applyBorder="1"/>
    <xf numFmtId="0" fontId="37" fillId="0" borderId="174" xfId="11" applyFont="1" applyBorder="1"/>
    <xf numFmtId="165" fontId="24" fillId="0" borderId="176" xfId="23" applyNumberFormat="1" applyFont="1" applyFill="1" applyBorder="1" applyAlignment="1">
      <alignment horizontal="center" vertical="center"/>
    </xf>
    <xf numFmtId="165" fontId="13" fillId="0" borderId="177" xfId="23" applyNumberFormat="1" applyFont="1" applyFill="1" applyBorder="1" applyAlignment="1">
      <alignment horizontal="center" vertical="center" wrapText="1"/>
    </xf>
    <xf numFmtId="165" fontId="10" fillId="0" borderId="178" xfId="23" applyNumberFormat="1" applyFont="1" applyFill="1" applyBorder="1" applyAlignment="1" applyProtection="1">
      <alignment horizontal="left" vertical="center" wrapText="1" indent="1"/>
      <protection locked="0"/>
    </xf>
    <xf numFmtId="170" fontId="10" fillId="0" borderId="179" xfId="23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78" xfId="23" applyNumberFormat="1" applyFont="1" applyFill="1" applyBorder="1" applyAlignment="1" applyProtection="1">
      <alignment vertical="center" wrapText="1"/>
      <protection locked="0"/>
    </xf>
    <xf numFmtId="165" fontId="10" fillId="0" borderId="179" xfId="23" applyNumberFormat="1" applyFont="1" applyFill="1" applyBorder="1" applyAlignment="1" applyProtection="1">
      <alignment vertical="center" wrapText="1"/>
      <protection locked="0"/>
    </xf>
    <xf numFmtId="165" fontId="10" fillId="0" borderId="180" xfId="23" applyNumberFormat="1" applyFont="1" applyFill="1" applyBorder="1" applyAlignment="1" applyProtection="1">
      <alignment vertical="center" wrapText="1"/>
      <protection locked="0"/>
    </xf>
    <xf numFmtId="165" fontId="10" fillId="0" borderId="181" xfId="23" applyNumberFormat="1" applyFont="1" applyFill="1" applyBorder="1" applyAlignment="1" applyProtection="1">
      <alignment vertical="center" wrapText="1"/>
      <protection locked="0"/>
    </xf>
    <xf numFmtId="165" fontId="10" fillId="0" borderId="178" xfId="23" applyNumberFormat="1" applyFont="1" applyFill="1" applyBorder="1" applyAlignment="1">
      <alignment vertical="center" wrapText="1"/>
    </xf>
    <xf numFmtId="165" fontId="47" fillId="0" borderId="86" xfId="23" applyNumberFormat="1" applyFont="1" applyFill="1" applyBorder="1" applyAlignment="1" applyProtection="1">
      <alignment horizontal="left" vertical="center" wrapText="1" indent="2"/>
    </xf>
    <xf numFmtId="165" fontId="47" fillId="0" borderId="98" xfId="23" applyNumberFormat="1" applyFont="1" applyFill="1" applyBorder="1" applyAlignment="1" applyProtection="1">
      <alignment vertical="center" wrapText="1"/>
    </xf>
    <xf numFmtId="165" fontId="47" fillId="0" borderId="98" xfId="23" applyNumberFormat="1" applyFont="1" applyFill="1" applyBorder="1" applyAlignment="1">
      <alignment vertical="center" wrapText="1"/>
    </xf>
    <xf numFmtId="165" fontId="10" fillId="0" borderId="178" xfId="23" applyNumberFormat="1" applyFont="1" applyFill="1" applyBorder="1" applyAlignment="1">
      <alignment horizontal="left" vertical="center" wrapText="1" indent="1"/>
    </xf>
    <xf numFmtId="170" fontId="47" fillId="0" borderId="179" xfId="23" applyNumberFormat="1" applyFont="1" applyFill="1" applyBorder="1" applyAlignment="1" applyProtection="1">
      <alignment horizontal="left" vertical="center" wrapText="1" indent="2"/>
      <protection locked="0"/>
    </xf>
    <xf numFmtId="165" fontId="47" fillId="0" borderId="178" xfId="23" applyNumberFormat="1" applyFont="1" applyFill="1" applyBorder="1" applyAlignment="1" applyProtection="1">
      <alignment vertical="center" wrapText="1"/>
      <protection locked="0"/>
    </xf>
    <xf numFmtId="165" fontId="47" fillId="0" borderId="178" xfId="23" applyNumberFormat="1" applyFont="1" applyFill="1" applyBorder="1" applyAlignment="1">
      <alignment vertical="center" wrapText="1"/>
    </xf>
    <xf numFmtId="170" fontId="47" fillId="0" borderId="134" xfId="23" applyNumberFormat="1" applyFont="1" applyFill="1" applyBorder="1" applyAlignment="1" applyProtection="1">
      <alignment horizontal="left" vertical="center" wrapText="1" indent="2"/>
      <protection locked="0"/>
    </xf>
    <xf numFmtId="165" fontId="47" fillId="0" borderId="93" xfId="23" applyNumberFormat="1" applyFont="1" applyFill="1" applyBorder="1" applyAlignment="1" applyProtection="1">
      <alignment vertical="center" wrapText="1"/>
      <protection locked="0"/>
    </xf>
    <xf numFmtId="3" fontId="47" fillId="0" borderId="182" xfId="24" applyNumberFormat="1" applyFont="1" applyBorder="1" applyAlignment="1">
      <alignment vertical="center"/>
    </xf>
    <xf numFmtId="170" fontId="47" fillId="0" borderId="86" xfId="23" applyNumberFormat="1" applyFont="1" applyFill="1" applyBorder="1" applyAlignment="1" applyProtection="1">
      <alignment horizontal="left" vertical="center" wrapText="1" indent="2"/>
      <protection locked="0"/>
    </xf>
    <xf numFmtId="165" fontId="47" fillId="0" borderId="98" xfId="23" applyNumberFormat="1" applyFont="1" applyFill="1" applyBorder="1" applyAlignment="1" applyProtection="1">
      <alignment vertical="center" wrapText="1"/>
      <protection locked="0"/>
    </xf>
    <xf numFmtId="3" fontId="47" fillId="0" borderId="134" xfId="24" applyNumberFormat="1" applyFont="1" applyBorder="1" applyAlignment="1">
      <alignment vertical="center"/>
    </xf>
    <xf numFmtId="3" fontId="47" fillId="0" borderId="86" xfId="24" applyNumberFormat="1" applyFont="1" applyBorder="1" applyAlignment="1">
      <alignment vertical="center"/>
    </xf>
    <xf numFmtId="165" fontId="10" fillId="0" borderId="183" xfId="23" applyNumberFormat="1" applyFont="1" applyFill="1" applyBorder="1" applyAlignment="1" applyProtection="1">
      <alignment horizontal="left" vertical="center" wrapText="1" indent="1"/>
      <protection locked="0"/>
    </xf>
    <xf numFmtId="170" fontId="10" fillId="0" borderId="173" xfId="23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83" xfId="23" applyNumberFormat="1" applyFont="1" applyFill="1" applyBorder="1" applyAlignment="1" applyProtection="1">
      <alignment vertical="center" wrapText="1"/>
      <protection locked="0"/>
    </xf>
    <xf numFmtId="165" fontId="10" fillId="0" borderId="173" xfId="23" applyNumberFormat="1" applyFont="1" applyFill="1" applyBorder="1" applyAlignment="1" applyProtection="1">
      <alignment vertical="center" wrapText="1"/>
      <protection locked="0"/>
    </xf>
    <xf numFmtId="165" fontId="10" fillId="0" borderId="184" xfId="23" applyNumberFormat="1" applyFont="1" applyFill="1" applyBorder="1" applyAlignment="1" applyProtection="1">
      <alignment vertical="center" wrapText="1"/>
      <protection locked="0"/>
    </xf>
    <xf numFmtId="165" fontId="10" fillId="0" borderId="185" xfId="23" applyNumberFormat="1" applyFont="1" applyFill="1" applyBorder="1" applyAlignment="1" applyProtection="1">
      <alignment vertical="center" wrapText="1"/>
      <protection locked="0"/>
    </xf>
    <xf numFmtId="165" fontId="10" fillId="0" borderId="183" xfId="23" applyNumberFormat="1" applyFont="1" applyFill="1" applyBorder="1" applyAlignment="1">
      <alignment vertical="center" wrapText="1"/>
    </xf>
    <xf numFmtId="165" fontId="10" fillId="0" borderId="98" xfId="23" applyNumberFormat="1" applyFont="1" applyFill="1" applyBorder="1" applyAlignment="1" applyProtection="1">
      <alignment vertical="center" wrapText="1"/>
      <protection locked="0"/>
    </xf>
    <xf numFmtId="165" fontId="10" fillId="0" borderId="119" xfId="23" applyNumberFormat="1" applyFont="1" applyFill="1" applyBorder="1" applyAlignment="1" applyProtection="1">
      <alignment horizontal="left" vertical="center" wrapText="1" indent="1"/>
      <protection locked="0"/>
    </xf>
    <xf numFmtId="170" fontId="10" fillId="0" borderId="90" xfId="23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00" xfId="23" applyNumberFormat="1" applyFont="1" applyFill="1" applyBorder="1" applyAlignment="1" applyProtection="1">
      <alignment vertical="center" wrapText="1"/>
      <protection locked="0"/>
    </xf>
    <xf numFmtId="165" fontId="10" fillId="0" borderId="91" xfId="23" applyNumberFormat="1" applyFont="1" applyFill="1" applyBorder="1" applyAlignment="1" applyProtection="1">
      <alignment vertical="center" wrapText="1"/>
      <protection locked="0"/>
    </xf>
    <xf numFmtId="165" fontId="10" fillId="0" borderId="96" xfId="23" applyNumberFormat="1" applyFont="1" applyFill="1" applyBorder="1" applyAlignment="1" applyProtection="1">
      <alignment vertical="center" wrapText="1"/>
      <protection locked="0"/>
    </xf>
    <xf numFmtId="165" fontId="10" fillId="0" borderId="92" xfId="23" applyNumberFormat="1" applyFont="1" applyFill="1" applyBorder="1" applyAlignment="1" applyProtection="1">
      <alignment vertical="center" wrapText="1"/>
      <protection locked="0"/>
    </xf>
    <xf numFmtId="165" fontId="10" fillId="0" borderId="100" xfId="23" applyNumberFormat="1" applyFont="1" applyFill="1" applyBorder="1" applyAlignment="1">
      <alignment vertical="center" wrapText="1"/>
    </xf>
    <xf numFmtId="165" fontId="10" fillId="0" borderId="101" xfId="23" applyNumberFormat="1" applyFont="1" applyFill="1" applyBorder="1" applyAlignment="1" applyProtection="1">
      <alignment horizontal="left" vertical="center" wrapText="1" indent="1"/>
      <protection locked="0"/>
    </xf>
    <xf numFmtId="170" fontId="10" fillId="0" borderId="186" xfId="23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01" xfId="23" applyNumberFormat="1" applyFont="1" applyFill="1" applyBorder="1" applyAlignment="1" applyProtection="1">
      <alignment vertical="center" wrapText="1"/>
      <protection locked="0"/>
    </xf>
    <xf numFmtId="165" fontId="10" fillId="0" borderId="187" xfId="23" applyNumberFormat="1" applyFont="1" applyFill="1" applyBorder="1" applyAlignment="1" applyProtection="1">
      <alignment vertical="center" wrapText="1"/>
      <protection locked="0"/>
    </xf>
    <xf numFmtId="165" fontId="10" fillId="0" borderId="176" xfId="23" applyNumberFormat="1" applyFont="1" applyFill="1" applyBorder="1" applyAlignment="1" applyProtection="1">
      <alignment vertical="center" wrapText="1"/>
      <protection locked="0"/>
    </xf>
    <xf numFmtId="165" fontId="10" fillId="0" borderId="156" xfId="23" applyNumberFormat="1" applyFont="1" applyFill="1" applyBorder="1" applyAlignment="1" applyProtection="1">
      <alignment vertical="center" wrapText="1"/>
      <protection locked="0"/>
    </xf>
    <xf numFmtId="165" fontId="10" fillId="10" borderId="105" xfId="23" applyNumberFormat="1" applyFont="1" applyFill="1" applyBorder="1" applyAlignment="1" applyProtection="1">
      <alignment horizontal="left" vertical="center" wrapText="1" indent="2"/>
    </xf>
    <xf numFmtId="170" fontId="10" fillId="0" borderId="178" xfId="23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77" xfId="23" applyNumberFormat="1" applyFont="1" applyFill="1" applyBorder="1" applyAlignment="1" applyProtection="1">
      <alignment vertical="center" wrapText="1"/>
      <protection locked="0"/>
    </xf>
    <xf numFmtId="0" fontId="26" fillId="3" borderId="188" xfId="10" applyFont="1" applyFill="1" applyBorder="1" applyAlignment="1">
      <alignment horizontal="center" vertical="center"/>
    </xf>
    <xf numFmtId="0" fontId="37" fillId="3" borderId="189" xfId="10" applyFont="1" applyFill="1" applyBorder="1" applyAlignment="1">
      <alignment horizontal="left" vertical="center" wrapText="1"/>
    </xf>
    <xf numFmtId="3" fontId="37" fillId="3" borderId="189" xfId="10" applyNumberFormat="1" applyFont="1" applyFill="1" applyBorder="1" applyAlignment="1">
      <alignment horizontal="right" vertical="center" wrapText="1"/>
    </xf>
    <xf numFmtId="3" fontId="37" fillId="3" borderId="190" xfId="10" applyNumberFormat="1" applyFont="1" applyFill="1" applyBorder="1" applyAlignment="1">
      <alignment horizontal="right" vertical="center" wrapText="1"/>
    </xf>
    <xf numFmtId="0" fontId="35" fillId="0" borderId="191" xfId="10" applyFont="1" applyBorder="1"/>
    <xf numFmtId="49" fontId="27" fillId="0" borderId="192" xfId="10" applyNumberFormat="1" applyFont="1" applyBorder="1"/>
    <xf numFmtId="0" fontId="27" fillId="0" borderId="193" xfId="10" applyFont="1" applyBorder="1"/>
    <xf numFmtId="3" fontId="27" fillId="0" borderId="193" xfId="10" applyNumberFormat="1" applyFont="1" applyBorder="1"/>
    <xf numFmtId="176" fontId="10" fillId="0" borderId="0" xfId="0" applyNumberFormat="1" applyFont="1" applyFill="1" applyAlignment="1">
      <alignment vertical="center" wrapText="1"/>
    </xf>
    <xf numFmtId="165" fontId="20" fillId="0" borderId="0" xfId="0" applyNumberFormat="1" applyFont="1" applyFill="1" applyBorder="1" applyAlignment="1">
      <alignment textRotation="180" wrapText="1"/>
    </xf>
    <xf numFmtId="3" fontId="26" fillId="0" borderId="0" xfId="10" applyNumberFormat="1" applyFont="1" applyBorder="1" applyAlignment="1">
      <alignment horizontal="center" vertical="center" wrapText="1"/>
    </xf>
    <xf numFmtId="3" fontId="26" fillId="0" borderId="0" xfId="10" applyNumberFormat="1" applyFont="1" applyBorder="1" applyAlignment="1">
      <alignment horizontal="right" vertical="center" wrapText="1"/>
    </xf>
    <xf numFmtId="3" fontId="37" fillId="0" borderId="0" xfId="10" applyNumberFormat="1" applyFont="1" applyBorder="1" applyAlignment="1">
      <alignment horizontal="right" vertical="center" wrapText="1"/>
    </xf>
    <xf numFmtId="3" fontId="40" fillId="0" borderId="0" xfId="10" applyNumberFormat="1" applyFont="1" applyBorder="1" applyAlignment="1">
      <alignment horizontal="right" vertical="center" wrapText="1"/>
    </xf>
    <xf numFmtId="3" fontId="37" fillId="8" borderId="0" xfId="10" applyNumberFormat="1" applyFont="1" applyFill="1" applyBorder="1" applyAlignment="1">
      <alignment horizontal="right" vertical="center" wrapText="1"/>
    </xf>
    <xf numFmtId="3" fontId="26" fillId="2" borderId="0" xfId="10" applyNumberFormat="1" applyFont="1" applyFill="1" applyBorder="1" applyAlignment="1">
      <alignment horizontal="right" vertical="center" wrapText="1"/>
    </xf>
    <xf numFmtId="3" fontId="24" fillId="2" borderId="61" xfId="0" applyNumberFormat="1" applyFont="1" applyFill="1" applyBorder="1" applyAlignment="1" applyProtection="1">
      <alignment vertical="center" wrapText="1"/>
    </xf>
    <xf numFmtId="3" fontId="37" fillId="11" borderId="19" xfId="10" applyNumberFormat="1" applyFont="1" applyFill="1" applyBorder="1"/>
    <xf numFmtId="0" fontId="37" fillId="0" borderId="196" xfId="10" applyFont="1" applyBorder="1"/>
    <xf numFmtId="49" fontId="37" fillId="0" borderId="197" xfId="10" applyNumberFormat="1" applyFont="1" applyBorder="1"/>
    <xf numFmtId="49" fontId="37" fillId="0" borderId="198" xfId="10" applyNumberFormat="1" applyFont="1" applyBorder="1"/>
    <xf numFmtId="3" fontId="37" fillId="0" borderId="199" xfId="10" applyNumberFormat="1" applyFont="1" applyBorder="1"/>
    <xf numFmtId="0" fontId="4" fillId="0" borderId="0" xfId="10" applyFont="1"/>
    <xf numFmtId="177" fontId="37" fillId="3" borderId="26" xfId="10" applyNumberFormat="1" applyFont="1" applyFill="1" applyBorder="1" applyAlignment="1">
      <alignment horizontal="right" vertical="center" wrapText="1"/>
    </xf>
    <xf numFmtId="3" fontId="37" fillId="0" borderId="45" xfId="10" applyNumberFormat="1" applyFont="1" applyFill="1" applyBorder="1" applyAlignment="1">
      <alignment horizontal="right" vertical="center"/>
    </xf>
    <xf numFmtId="3" fontId="37" fillId="0" borderId="26" xfId="10" applyNumberFormat="1" applyFont="1" applyFill="1" applyBorder="1" applyAlignment="1">
      <alignment horizontal="right" vertical="center" wrapText="1"/>
    </xf>
    <xf numFmtId="0" fontId="78" fillId="0" borderId="122" xfId="26" applyFont="1" applyBorder="1" applyAlignment="1"/>
    <xf numFmtId="0" fontId="38" fillId="0" borderId="137" xfId="26" applyFont="1" applyBorder="1" applyAlignment="1">
      <alignment horizontal="center" wrapText="1"/>
    </xf>
    <xf numFmtId="3" fontId="38" fillId="0" borderId="138" xfId="26" applyNumberFormat="1" applyFont="1" applyBorder="1" applyAlignment="1">
      <alignment horizontal="center"/>
    </xf>
    <xf numFmtId="0" fontId="63" fillId="0" borderId="136" xfId="20" applyFont="1" applyBorder="1" applyAlignment="1">
      <alignment horizontal="center" vertical="center" wrapText="1"/>
    </xf>
    <xf numFmtId="0" fontId="59" fillId="0" borderId="132" xfId="20" applyFont="1" applyBorder="1" applyAlignment="1">
      <alignment horizontal="center" vertical="center" wrapText="1"/>
    </xf>
    <xf numFmtId="0" fontId="13" fillId="0" borderId="175" xfId="20" applyFont="1" applyBorder="1" applyAlignment="1">
      <alignment horizontal="center" vertical="center"/>
    </xf>
    <xf numFmtId="0" fontId="13" fillId="0" borderId="120" xfId="20" applyFont="1" applyBorder="1" applyAlignment="1">
      <alignment horizontal="center" vertical="center"/>
    </xf>
    <xf numFmtId="3" fontId="64" fillId="0" borderId="200" xfId="20" applyNumberFormat="1" applyFont="1" applyBorder="1" applyAlignment="1"/>
    <xf numFmtId="0" fontId="59" fillId="0" borderId="201" xfId="20" applyFont="1" applyBorder="1" applyAlignment="1">
      <alignment horizontal="center" vertical="center"/>
    </xf>
    <xf numFmtId="0" fontId="29" fillId="0" borderId="202" xfId="20" applyFont="1" applyBorder="1" applyAlignment="1">
      <alignment vertical="center" wrapText="1"/>
    </xf>
    <xf numFmtId="3" fontId="59" fillId="0" borderId="173" xfId="20" applyNumberFormat="1" applyFont="1" applyBorder="1" applyAlignment="1"/>
    <xf numFmtId="4" fontId="0" fillId="0" borderId="203" xfId="20" applyNumberFormat="1" applyFont="1" applyBorder="1" applyAlignment="1"/>
    <xf numFmtId="3" fontId="29" fillId="0" borderId="181" xfId="20" applyNumberFormat="1" applyFont="1" applyBorder="1"/>
    <xf numFmtId="0" fontId="59" fillId="0" borderId="126" xfId="20" applyFont="1" applyBorder="1" applyAlignment="1">
      <alignment horizontal="center" vertical="center"/>
    </xf>
    <xf numFmtId="0" fontId="59" fillId="0" borderId="204" xfId="20" applyFont="1" applyBorder="1" applyAlignment="1">
      <alignment horizontal="left" vertical="center" wrapText="1"/>
    </xf>
    <xf numFmtId="3" fontId="59" fillId="0" borderId="203" xfId="20" applyNumberFormat="1" applyFont="1" applyBorder="1" applyAlignment="1"/>
    <xf numFmtId="0" fontId="29" fillId="0" borderId="204" xfId="20" applyFont="1" applyBorder="1" applyAlignment="1">
      <alignment horizontal="left" vertical="center" wrapText="1" indent="3"/>
    </xf>
    <xf numFmtId="3" fontId="29" fillId="0" borderId="179" xfId="20" applyNumberFormat="1" applyFont="1" applyBorder="1" applyAlignment="1"/>
    <xf numFmtId="173" fontId="29" fillId="0" borderId="179" xfId="20" applyNumberFormat="1" applyFont="1" applyBorder="1"/>
    <xf numFmtId="0" fontId="29" fillId="0" borderId="205" xfId="20" applyFont="1" applyBorder="1" applyAlignment="1">
      <alignment horizontal="center" vertical="center"/>
    </xf>
    <xf numFmtId="171" fontId="29" fillId="0" borderId="179" xfId="20" applyNumberFormat="1" applyFont="1" applyBorder="1"/>
    <xf numFmtId="0" fontId="59" fillId="0" borderId="205" xfId="20" applyFont="1" applyBorder="1" applyAlignment="1">
      <alignment horizontal="center" vertical="center"/>
    </xf>
    <xf numFmtId="0" fontId="59" fillId="0" borderId="204" xfId="20" applyFont="1" applyBorder="1" applyAlignment="1">
      <alignment vertical="center" wrapText="1"/>
    </xf>
    <xf numFmtId="3" fontId="29" fillId="0" borderId="173" xfId="20" applyNumberFormat="1" applyFont="1" applyBorder="1" applyAlignment="1"/>
    <xf numFmtId="0" fontId="29" fillId="0" borderId="204" xfId="20" applyFont="1" applyBorder="1" applyAlignment="1">
      <alignment vertical="center" wrapText="1"/>
    </xf>
    <xf numFmtId="0" fontId="59" fillId="0" borderId="95" xfId="20" applyFont="1" applyBorder="1" applyAlignment="1">
      <alignment horizontal="center" vertical="center"/>
    </xf>
    <xf numFmtId="0" fontId="29" fillId="0" borderId="0" xfId="20" applyFont="1" applyBorder="1" applyAlignment="1">
      <alignment vertical="center" wrapText="1"/>
    </xf>
    <xf numFmtId="3" fontId="29" fillId="0" borderId="133" xfId="20" applyNumberFormat="1" applyFont="1" applyBorder="1" applyAlignment="1"/>
    <xf numFmtId="173" fontId="29" fillId="0" borderId="99" xfId="20" applyNumberFormat="1" applyFont="1" applyBorder="1"/>
    <xf numFmtId="3" fontId="29" fillId="0" borderId="138" xfId="20" applyNumberFormat="1" applyFont="1" applyBorder="1"/>
    <xf numFmtId="0" fontId="29" fillId="0" borderId="178" xfId="20" applyFont="1" applyBorder="1" applyAlignment="1">
      <alignment horizontal="center" vertical="center"/>
    </xf>
    <xf numFmtId="0" fontId="21" fillId="0" borderId="120" xfId="20" applyFont="1" applyBorder="1" applyAlignment="1">
      <alignment vertical="center" wrapText="1"/>
    </xf>
    <xf numFmtId="3" fontId="21" fillId="0" borderId="121" xfId="20" applyNumberFormat="1" applyFont="1" applyBorder="1" applyAlignment="1">
      <alignment vertical="center" wrapText="1"/>
    </xf>
    <xf numFmtId="0" fontId="66" fillId="0" borderId="205" xfId="20" applyFont="1" applyBorder="1" applyAlignment="1">
      <alignment horizontal="center" vertical="center"/>
    </xf>
    <xf numFmtId="0" fontId="66" fillId="0" borderId="204" xfId="20" applyFont="1" applyBorder="1" applyAlignment="1">
      <alignment vertical="center" wrapText="1"/>
    </xf>
    <xf numFmtId="3" fontId="66" fillId="0" borderId="173" xfId="20" applyNumberFormat="1" applyFont="1" applyBorder="1" applyAlignment="1"/>
    <xf numFmtId="173" fontId="29" fillId="0" borderId="173" xfId="20" applyNumberFormat="1" applyFont="1" applyBorder="1"/>
    <xf numFmtId="0" fontId="67" fillId="0" borderId="204" xfId="20" applyFont="1" applyBorder="1" applyAlignment="1">
      <alignment horizontal="left" vertical="center" wrapText="1" indent="2"/>
    </xf>
    <xf numFmtId="3" fontId="67" fillId="0" borderId="173" xfId="20" applyNumberFormat="1" applyFont="1" applyBorder="1" applyAlignment="1"/>
    <xf numFmtId="173" fontId="67" fillId="0" borderId="173" xfId="20" applyNumberFormat="1" applyFont="1" applyBorder="1"/>
    <xf numFmtId="3" fontId="67" fillId="0" borderId="181" xfId="20" applyNumberFormat="1" applyFont="1" applyBorder="1"/>
    <xf numFmtId="171" fontId="66" fillId="0" borderId="173" xfId="20" applyNumberFormat="1" applyFont="1" applyBorder="1"/>
    <xf numFmtId="3" fontId="66" fillId="0" borderId="181" xfId="20" applyNumberFormat="1" applyFont="1" applyBorder="1"/>
    <xf numFmtId="171" fontId="29" fillId="0" borderId="173" xfId="20" applyNumberFormat="1" applyFont="1" applyBorder="1"/>
    <xf numFmtId="0" fontId="63" fillId="0" borderId="204" xfId="20" applyFont="1" applyBorder="1" applyAlignment="1">
      <alignment vertical="center" wrapText="1"/>
    </xf>
    <xf numFmtId="3" fontId="63" fillId="0" borderId="181" xfId="20" applyNumberFormat="1" applyFont="1" applyBorder="1"/>
    <xf numFmtId="3" fontId="66" fillId="0" borderId="184" xfId="20" applyNumberFormat="1" applyFont="1" applyBorder="1"/>
    <xf numFmtId="0" fontId="68" fillId="0" borderId="205" xfId="20" applyFont="1" applyBorder="1" applyAlignment="1">
      <alignment horizontal="center" vertical="center"/>
    </xf>
    <xf numFmtId="0" fontId="68" fillId="0" borderId="204" xfId="20" applyFont="1" applyBorder="1" applyAlignment="1">
      <alignment vertical="center" wrapText="1"/>
    </xf>
    <xf numFmtId="0" fontId="60" fillId="0" borderId="202" xfId="20" applyFont="1" applyBorder="1" applyAlignment="1">
      <alignment vertical="center" wrapText="1"/>
    </xf>
    <xf numFmtId="3" fontId="29" fillId="0" borderId="203" xfId="20" applyNumberFormat="1" applyFont="1" applyBorder="1" applyAlignment="1"/>
    <xf numFmtId="3" fontId="60" fillId="0" borderId="181" xfId="20" applyNumberFormat="1" applyFont="1" applyBorder="1"/>
    <xf numFmtId="3" fontId="21" fillId="0" borderId="181" xfId="20" applyNumberFormat="1" applyFont="1" applyBorder="1"/>
    <xf numFmtId="171" fontId="59" fillId="0" borderId="173" xfId="20" applyNumberFormat="1" applyFont="1" applyBorder="1"/>
    <xf numFmtId="165" fontId="0" fillId="0" borderId="206" xfId="0" applyNumberFormat="1" applyFill="1" applyBorder="1" applyAlignment="1">
      <alignment vertical="center" wrapText="1"/>
    </xf>
    <xf numFmtId="165" fontId="0" fillId="0" borderId="208" xfId="0" applyNumberFormat="1" applyFill="1" applyBorder="1" applyAlignment="1">
      <alignment vertical="center" wrapText="1"/>
    </xf>
    <xf numFmtId="0" fontId="47" fillId="0" borderId="209" xfId="11" applyFont="1" applyBorder="1" applyAlignment="1">
      <alignment horizontal="left" wrapText="1"/>
    </xf>
    <xf numFmtId="3" fontId="47" fillId="0" borderId="209" xfId="11" applyNumberFormat="1" applyFont="1" applyFill="1" applyBorder="1"/>
    <xf numFmtId="0" fontId="47" fillId="0" borderId="210" xfId="11" applyFont="1" applyBorder="1" applyAlignment="1">
      <alignment horizontal="center" wrapText="1"/>
    </xf>
    <xf numFmtId="0" fontId="47" fillId="0" borderId="207" xfId="11" applyFont="1" applyBorder="1" applyAlignment="1">
      <alignment horizontal="left" wrapText="1"/>
    </xf>
    <xf numFmtId="165" fontId="10" fillId="0" borderId="207" xfId="0" applyNumberFormat="1" applyFont="1" applyFill="1" applyBorder="1" applyAlignment="1" applyProtection="1">
      <alignment vertical="center" wrapText="1"/>
    </xf>
    <xf numFmtId="0" fontId="47" fillId="0" borderId="207" xfId="11" applyFont="1" applyBorder="1" applyAlignment="1">
      <alignment horizontal="right" wrapText="1"/>
    </xf>
    <xf numFmtId="3" fontId="47" fillId="0" borderId="207" xfId="11" applyNumberFormat="1" applyFont="1" applyBorder="1" applyAlignment="1">
      <alignment wrapText="1"/>
    </xf>
    <xf numFmtId="3" fontId="37" fillId="0" borderId="168" xfId="10" applyNumberFormat="1" applyFont="1" applyFill="1" applyBorder="1"/>
    <xf numFmtId="3" fontId="17" fillId="0" borderId="8" xfId="10" applyNumberFormat="1" applyFont="1" applyFill="1" applyBorder="1"/>
    <xf numFmtId="3" fontId="17" fillId="0" borderId="19" xfId="10" applyNumberFormat="1" applyFont="1" applyFill="1" applyBorder="1"/>
    <xf numFmtId="3" fontId="27" fillId="0" borderId="8" xfId="10" applyNumberFormat="1" applyFont="1" applyFill="1" applyBorder="1"/>
    <xf numFmtId="3" fontId="35" fillId="0" borderId="23" xfId="10" applyNumberFormat="1" applyFont="1" applyFill="1" applyBorder="1"/>
    <xf numFmtId="0" fontId="15" fillId="0" borderId="8" xfId="10" applyFont="1" applyFill="1" applyBorder="1" applyAlignment="1">
      <alignment horizontal="left" vertical="center" wrapText="1" indent="3"/>
    </xf>
    <xf numFmtId="0" fontId="82" fillId="0" borderId="8" xfId="10" applyFont="1" applyFill="1" applyBorder="1" applyAlignment="1">
      <alignment horizontal="left" vertical="center" wrapText="1" indent="3"/>
    </xf>
    <xf numFmtId="0" fontId="58" fillId="0" borderId="8" xfId="0" applyFont="1" applyBorder="1" applyAlignment="1" applyProtection="1">
      <alignment horizontal="left" vertical="center" inden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211" xfId="0" applyFont="1" applyFill="1" applyBorder="1" applyAlignment="1" applyProtection="1">
      <alignment horizontal="left" vertical="center" wrapText="1" indent="1"/>
    </xf>
    <xf numFmtId="0" fontId="11" fillId="0" borderId="212" xfId="21" applyFont="1" applyFill="1" applyBorder="1" applyAlignment="1" applyProtection="1">
      <alignment horizontal="left" vertical="center" wrapText="1" indent="1"/>
    </xf>
    <xf numFmtId="0" fontId="11" fillId="0" borderId="213" xfId="21" applyFont="1" applyFill="1" applyBorder="1" applyAlignment="1" applyProtection="1">
      <alignment horizontal="left" vertical="center" wrapText="1" indent="1"/>
    </xf>
    <xf numFmtId="0" fontId="12" fillId="0" borderId="214" xfId="0" applyFont="1" applyFill="1" applyBorder="1" applyAlignment="1" applyProtection="1">
      <alignment horizontal="center" vertical="center" wrapText="1"/>
    </xf>
    <xf numFmtId="49" fontId="11" fillId="0" borderId="215" xfId="0" applyNumberFormat="1" applyFont="1" applyFill="1" applyBorder="1" applyAlignment="1" applyProtection="1">
      <alignment horizontal="center" vertical="center" wrapText="1"/>
    </xf>
    <xf numFmtId="3" fontId="11" fillId="0" borderId="216" xfId="0" applyNumberFormat="1" applyFont="1" applyFill="1" applyBorder="1" applyAlignment="1" applyProtection="1">
      <alignment vertical="center" wrapText="1"/>
      <protection locked="0"/>
    </xf>
    <xf numFmtId="49" fontId="11" fillId="0" borderId="213" xfId="0" applyNumberFormat="1" applyFont="1" applyFill="1" applyBorder="1" applyAlignment="1" applyProtection="1">
      <alignment horizontal="center" vertical="center" wrapText="1"/>
    </xf>
    <xf numFmtId="0" fontId="11" fillId="0" borderId="217" xfId="21" applyFont="1" applyFill="1" applyBorder="1" applyAlignment="1" applyProtection="1">
      <alignment horizontal="left" vertical="center" wrapText="1" indent="1"/>
    </xf>
    <xf numFmtId="0" fontId="12" fillId="0" borderId="218" xfId="0" applyFont="1" applyFill="1" applyBorder="1" applyAlignment="1" applyProtection="1">
      <alignment horizontal="center" vertical="center" wrapText="1"/>
    </xf>
    <xf numFmtId="0" fontId="11" fillId="0" borderId="219" xfId="21" applyFont="1" applyFill="1" applyBorder="1" applyAlignment="1" applyProtection="1">
      <alignment horizontal="left" vertical="center" wrapText="1" indent="1"/>
    </xf>
    <xf numFmtId="0" fontId="11" fillId="0" borderId="213" xfId="21" applyFont="1" applyFill="1" applyBorder="1" applyAlignment="1" applyProtection="1">
      <alignment horizontal="left" vertical="center" wrapText="1" indent="2"/>
    </xf>
    <xf numFmtId="0" fontId="12" fillId="0" borderId="220" xfId="0" applyFont="1" applyFill="1" applyBorder="1" applyAlignment="1" applyProtection="1">
      <alignment horizontal="center" vertical="center" wrapText="1"/>
    </xf>
    <xf numFmtId="3" fontId="11" fillId="0" borderId="221" xfId="0" applyNumberFormat="1" applyFont="1" applyFill="1" applyBorder="1" applyAlignment="1" applyProtection="1">
      <alignment vertical="center" wrapText="1"/>
      <protection locked="0"/>
    </xf>
    <xf numFmtId="0" fontId="12" fillId="0" borderId="222" xfId="0" applyFont="1" applyFill="1" applyBorder="1" applyAlignment="1" applyProtection="1">
      <alignment horizontal="center" vertical="center" wrapText="1"/>
    </xf>
    <xf numFmtId="0" fontId="12" fillId="0" borderId="211" xfId="21" applyFont="1" applyFill="1" applyBorder="1" applyAlignment="1" applyProtection="1">
      <alignment horizontal="left" vertical="center" wrapText="1" indent="1"/>
    </xf>
    <xf numFmtId="3" fontId="12" fillId="0" borderId="223" xfId="0" applyNumberFormat="1" applyFont="1" applyFill="1" applyBorder="1" applyAlignment="1" applyProtection="1">
      <alignment vertical="center" wrapText="1"/>
      <protection locked="0"/>
    </xf>
    <xf numFmtId="3" fontId="12" fillId="0" borderId="224" xfId="0" applyNumberFormat="1" applyFont="1" applyFill="1" applyBorder="1" applyAlignment="1" applyProtection="1">
      <alignment vertical="center" wrapText="1"/>
      <protection locked="0"/>
    </xf>
    <xf numFmtId="0" fontId="26" fillId="0" borderId="222" xfId="0" applyFont="1" applyBorder="1" applyAlignment="1" applyProtection="1">
      <alignment horizontal="center" vertical="center" wrapText="1"/>
    </xf>
    <xf numFmtId="49" fontId="11" fillId="0" borderId="213" xfId="21" applyNumberFormat="1" applyFont="1" applyFill="1" applyBorder="1" applyAlignment="1" applyProtection="1">
      <alignment horizontal="center" vertical="center" wrapText="1"/>
    </xf>
    <xf numFmtId="49" fontId="12" fillId="0" borderId="2" xfId="21" applyNumberFormat="1" applyFont="1" applyFill="1" applyBorder="1" applyAlignment="1" applyProtection="1">
      <alignment horizontal="center" vertical="center" wrapText="1"/>
    </xf>
    <xf numFmtId="49" fontId="11" fillId="0" borderId="11" xfId="21" applyNumberFormat="1" applyFont="1" applyFill="1" applyBorder="1" applyAlignment="1" applyProtection="1">
      <alignment horizontal="center" vertical="center" wrapText="1"/>
    </xf>
    <xf numFmtId="49" fontId="11" fillId="0" borderId="23" xfId="21" applyNumberFormat="1" applyFont="1" applyFill="1" applyBorder="1" applyAlignment="1" applyProtection="1">
      <alignment horizontal="center" vertical="center" wrapText="1"/>
    </xf>
    <xf numFmtId="49" fontId="11" fillId="0" borderId="14" xfId="21" applyNumberFormat="1" applyFont="1" applyFill="1" applyBorder="1" applyAlignment="1" applyProtection="1">
      <alignment horizontal="center" vertical="center" wrapText="1"/>
    </xf>
    <xf numFmtId="49" fontId="11" fillId="0" borderId="19" xfId="21" applyNumberFormat="1" applyFont="1" applyFill="1" applyBorder="1" applyAlignment="1" applyProtection="1">
      <alignment horizontal="center" vertical="center" wrapText="1"/>
    </xf>
    <xf numFmtId="49" fontId="11" fillId="0" borderId="8" xfId="21" applyNumberFormat="1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49" fontId="11" fillId="0" borderId="225" xfId="0" applyNumberFormat="1" applyFont="1" applyFill="1" applyBorder="1" applyAlignment="1" applyProtection="1">
      <alignment horizontal="center" vertical="center" wrapText="1"/>
    </xf>
    <xf numFmtId="0" fontId="12" fillId="0" borderId="226" xfId="0" applyFont="1" applyFill="1" applyBorder="1" applyAlignment="1" applyProtection="1">
      <alignment horizontal="center" vertical="center" wrapText="1"/>
    </xf>
    <xf numFmtId="49" fontId="11" fillId="0" borderId="227" xfId="0" applyNumberFormat="1" applyFont="1" applyFill="1" applyBorder="1" applyAlignment="1" applyProtection="1">
      <alignment horizontal="center" vertical="center" wrapText="1"/>
    </xf>
    <xf numFmtId="3" fontId="11" fillId="0" borderId="228" xfId="0" applyNumberFormat="1" applyFont="1" applyFill="1" applyBorder="1" applyAlignment="1" applyProtection="1">
      <alignment vertical="center" wrapText="1"/>
      <protection locked="0"/>
    </xf>
    <xf numFmtId="0" fontId="12" fillId="0" borderId="229" xfId="0" applyFont="1" applyFill="1" applyBorder="1" applyAlignment="1" applyProtection="1">
      <alignment horizontal="center" vertical="center" wrapText="1"/>
    </xf>
    <xf numFmtId="0" fontId="12" fillId="0" borderId="230" xfId="0" applyFont="1" applyFill="1" applyBorder="1" applyAlignment="1" applyProtection="1">
      <alignment horizontal="center" vertical="center" wrapText="1"/>
    </xf>
    <xf numFmtId="3" fontId="11" fillId="0" borderId="231" xfId="0" applyNumberFormat="1" applyFont="1" applyFill="1" applyBorder="1" applyAlignment="1" applyProtection="1">
      <alignment vertical="center" wrapText="1"/>
      <protection locked="0"/>
    </xf>
    <xf numFmtId="3" fontId="11" fillId="0" borderId="75" xfId="0" applyNumberFormat="1" applyFont="1" applyFill="1" applyBorder="1" applyAlignment="1" applyProtection="1">
      <alignment vertical="center" wrapText="1"/>
      <protection locked="0"/>
    </xf>
    <xf numFmtId="3" fontId="11" fillId="0" borderId="232" xfId="0" applyNumberFormat="1" applyFont="1" applyFill="1" applyBorder="1" applyAlignment="1" applyProtection="1">
      <alignment vertical="center" wrapText="1"/>
      <protection locked="0"/>
    </xf>
    <xf numFmtId="0" fontId="12" fillId="0" borderId="233" xfId="0" applyFont="1" applyFill="1" applyBorder="1" applyAlignment="1" applyProtection="1">
      <alignment horizontal="center" vertical="center" wrapText="1"/>
    </xf>
    <xf numFmtId="3" fontId="12" fillId="0" borderId="234" xfId="0" applyNumberFormat="1" applyFont="1" applyFill="1" applyBorder="1" applyAlignment="1" applyProtection="1">
      <alignment vertical="center" wrapText="1"/>
      <protection locked="0"/>
    </xf>
    <xf numFmtId="49" fontId="11" fillId="0" borderId="235" xfId="21" applyNumberFormat="1" applyFont="1" applyFill="1" applyBorder="1" applyAlignment="1" applyProtection="1">
      <alignment horizontal="center" vertical="center" wrapText="1"/>
    </xf>
    <xf numFmtId="0" fontId="26" fillId="0" borderId="233" xfId="0" applyFont="1" applyBorder="1" applyAlignment="1" applyProtection="1">
      <alignment horizontal="center" vertical="center" wrapText="1"/>
    </xf>
    <xf numFmtId="3" fontId="12" fillId="0" borderId="236" xfId="0" applyNumberFormat="1" applyFont="1" applyFill="1" applyBorder="1" applyAlignment="1" applyProtection="1">
      <alignment vertical="center" wrapText="1"/>
      <protection locked="0"/>
    </xf>
    <xf numFmtId="0" fontId="12" fillId="0" borderId="237" xfId="0" applyFont="1" applyFill="1" applyBorder="1" applyAlignment="1" applyProtection="1">
      <alignment horizontal="center" vertical="center" wrapText="1"/>
    </xf>
    <xf numFmtId="3" fontId="12" fillId="0" borderId="238" xfId="0" applyNumberFormat="1" applyFont="1" applyFill="1" applyBorder="1" applyAlignment="1" applyProtection="1">
      <alignment vertical="center" wrapText="1"/>
    </xf>
    <xf numFmtId="49" fontId="11" fillId="0" borderId="239" xfId="21" applyNumberFormat="1" applyFont="1" applyFill="1" applyBorder="1" applyAlignment="1" applyProtection="1">
      <alignment horizontal="center" vertical="center" wrapText="1"/>
    </xf>
    <xf numFmtId="3" fontId="11" fillId="0" borderId="27" xfId="0" applyNumberFormat="1" applyFont="1" applyFill="1" applyBorder="1" applyAlignment="1" applyProtection="1">
      <alignment vertical="center" wrapText="1"/>
      <protection locked="0"/>
    </xf>
    <xf numFmtId="3" fontId="83" fillId="0" borderId="234" xfId="0" applyNumberFormat="1" applyFont="1" applyFill="1" applyBorder="1" applyAlignment="1" applyProtection="1">
      <alignment vertical="center" wrapText="1"/>
      <protection locked="0"/>
    </xf>
    <xf numFmtId="3" fontId="83" fillId="0" borderId="236" xfId="0" applyNumberFormat="1" applyFont="1" applyFill="1" applyBorder="1" applyAlignment="1" applyProtection="1">
      <alignment vertical="center" wrapText="1"/>
      <protection locked="0"/>
    </xf>
    <xf numFmtId="3" fontId="83" fillId="0" borderId="6" xfId="0" applyNumberFormat="1" applyFont="1" applyFill="1" applyBorder="1" applyAlignment="1" applyProtection="1">
      <alignment vertical="center" wrapText="1"/>
      <protection locked="0"/>
    </xf>
    <xf numFmtId="3" fontId="83" fillId="0" borderId="238" xfId="0" applyNumberFormat="1" applyFont="1" applyFill="1" applyBorder="1" applyAlignment="1" applyProtection="1">
      <alignment vertical="center" wrapText="1"/>
    </xf>
    <xf numFmtId="3" fontId="60" fillId="0" borderId="41" xfId="0" applyNumberFormat="1" applyFont="1" applyFill="1" applyBorder="1" applyAlignment="1" applyProtection="1">
      <alignment vertical="center" wrapText="1"/>
      <protection locked="0"/>
    </xf>
    <xf numFmtId="3" fontId="83" fillId="0" borderId="223" xfId="0" applyNumberFormat="1" applyFont="1" applyFill="1" applyBorder="1" applyAlignment="1" applyProtection="1">
      <alignment vertical="center" wrapText="1"/>
      <protection locked="0"/>
    </xf>
    <xf numFmtId="3" fontId="60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40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1" fillId="0" borderId="241" xfId="21" applyFont="1" applyFill="1" applyBorder="1" applyAlignment="1" applyProtection="1">
      <alignment horizontal="left" vertical="center" wrapText="1" indent="1"/>
    </xf>
    <xf numFmtId="0" fontId="12" fillId="0" borderId="242" xfId="0" applyFont="1" applyFill="1" applyBorder="1" applyAlignment="1" applyProtection="1">
      <alignment horizontal="center" vertical="center" wrapText="1"/>
    </xf>
    <xf numFmtId="3" fontId="11" fillId="0" borderId="243" xfId="0" applyNumberFormat="1" applyFont="1" applyFill="1" applyBorder="1" applyAlignment="1" applyProtection="1">
      <alignment vertical="center" wrapText="1"/>
      <protection locked="0"/>
    </xf>
    <xf numFmtId="0" fontId="12" fillId="0" borderId="244" xfId="0" applyFont="1" applyFill="1" applyBorder="1" applyAlignment="1" applyProtection="1">
      <alignment horizontal="center" vertical="center" wrapText="1"/>
    </xf>
    <xf numFmtId="3" fontId="11" fillId="0" borderId="245" xfId="0" applyNumberFormat="1" applyFont="1" applyFill="1" applyBorder="1" applyAlignment="1" applyProtection="1">
      <alignment vertical="center" wrapText="1"/>
      <protection locked="0"/>
    </xf>
    <xf numFmtId="3" fontId="12" fillId="0" borderId="246" xfId="0" applyNumberFormat="1" applyFont="1" applyFill="1" applyBorder="1" applyAlignment="1" applyProtection="1">
      <alignment vertical="center" wrapText="1"/>
      <protection locked="0"/>
    </xf>
    <xf numFmtId="49" fontId="11" fillId="0" borderId="241" xfId="21" applyNumberFormat="1" applyFont="1" applyFill="1" applyBorder="1" applyAlignment="1" applyProtection="1">
      <alignment horizontal="left" vertical="center" wrapText="1" inden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3" fontId="11" fillId="0" borderId="247" xfId="0" applyNumberFormat="1" applyFont="1" applyFill="1" applyBorder="1" applyAlignment="1" applyProtection="1">
      <alignment vertical="center" wrapText="1"/>
      <protection locked="0"/>
    </xf>
    <xf numFmtId="3" fontId="11" fillId="0" borderId="248" xfId="0" applyNumberFormat="1" applyFont="1" applyFill="1" applyBorder="1" applyAlignment="1" applyProtection="1">
      <alignment vertical="center" wrapText="1"/>
      <protection locked="0"/>
    </xf>
    <xf numFmtId="3" fontId="12" fillId="0" borderId="249" xfId="0" applyNumberFormat="1" applyFont="1" applyFill="1" applyBorder="1" applyAlignment="1" applyProtection="1">
      <alignment vertical="center" wrapText="1"/>
      <protection locked="0"/>
    </xf>
    <xf numFmtId="0" fontId="12" fillId="0" borderId="250" xfId="0" applyFont="1" applyFill="1" applyBorder="1" applyAlignment="1" applyProtection="1">
      <alignment horizontal="center" vertical="center" wrapText="1"/>
    </xf>
    <xf numFmtId="3" fontId="11" fillId="0" borderId="251" xfId="0" applyNumberFormat="1" applyFont="1" applyFill="1" applyBorder="1" applyAlignment="1" applyProtection="1">
      <alignment vertical="center" wrapText="1"/>
      <protection locked="0"/>
    </xf>
    <xf numFmtId="0" fontId="12" fillId="0" borderId="252" xfId="0" applyFont="1" applyFill="1" applyBorder="1" applyAlignment="1" applyProtection="1">
      <alignment horizontal="center" vertical="center" wrapText="1"/>
    </xf>
    <xf numFmtId="3" fontId="12" fillId="0" borderId="254" xfId="0" applyNumberFormat="1" applyFont="1" applyFill="1" applyBorder="1" applyAlignment="1" applyProtection="1">
      <alignment vertical="center" wrapText="1"/>
      <protection locked="0"/>
    </xf>
    <xf numFmtId="0" fontId="12" fillId="0" borderId="253" xfId="21" applyFont="1" applyFill="1" applyBorder="1" applyAlignment="1" applyProtection="1">
      <alignment vertical="center" wrapText="1"/>
    </xf>
    <xf numFmtId="3" fontId="11" fillId="0" borderId="255" xfId="0" applyNumberFormat="1" applyFont="1" applyFill="1" applyBorder="1" applyAlignment="1" applyProtection="1">
      <alignment vertical="center" wrapText="1"/>
      <protection locked="0"/>
    </xf>
    <xf numFmtId="0" fontId="12" fillId="11" borderId="2" xfId="21" applyFont="1" applyFill="1" applyBorder="1" applyAlignment="1" applyProtection="1">
      <alignment horizontal="left" vertical="center" wrapText="1" indent="1"/>
    </xf>
    <xf numFmtId="0" fontId="12" fillId="11" borderId="2" xfId="21" applyFont="1" applyFill="1" applyBorder="1" applyAlignment="1" applyProtection="1">
      <alignment vertical="center" wrapText="1"/>
    </xf>
    <xf numFmtId="0" fontId="12" fillId="0" borderId="256" xfId="0" applyFont="1" applyFill="1" applyBorder="1" applyAlignment="1" applyProtection="1">
      <alignment horizontal="center" vertical="center" wrapText="1"/>
    </xf>
    <xf numFmtId="3" fontId="11" fillId="0" borderId="258" xfId="0" applyNumberFormat="1" applyFont="1" applyFill="1" applyBorder="1" applyAlignment="1" applyProtection="1">
      <alignment vertical="center" wrapText="1"/>
      <protection locked="0"/>
    </xf>
    <xf numFmtId="3" fontId="12" fillId="0" borderId="259" xfId="0" applyNumberFormat="1" applyFont="1" applyFill="1" applyBorder="1" applyAlignment="1" applyProtection="1">
      <alignment vertical="center" wrapText="1"/>
      <protection locked="0"/>
    </xf>
    <xf numFmtId="3" fontId="12" fillId="0" borderId="24" xfId="0" applyNumberFormat="1" applyFont="1" applyFill="1" applyBorder="1" applyAlignment="1" applyProtection="1">
      <alignment vertical="center" wrapText="1"/>
    </xf>
    <xf numFmtId="0" fontId="33" fillId="0" borderId="260" xfId="10" applyFont="1" applyBorder="1"/>
    <xf numFmtId="0" fontId="33" fillId="0" borderId="261" xfId="10" applyFont="1" applyBorder="1"/>
    <xf numFmtId="3" fontId="37" fillId="0" borderId="257" xfId="10" applyNumberFormat="1" applyFont="1" applyBorder="1"/>
    <xf numFmtId="0" fontId="17" fillId="0" borderId="261" xfId="10" applyFont="1" applyBorder="1"/>
    <xf numFmtId="0" fontId="26" fillId="0" borderId="260" xfId="10" applyFont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33" fillId="0" borderId="262" xfId="10" applyFont="1" applyBorder="1"/>
    <xf numFmtId="0" fontId="33" fillId="0" borderId="263" xfId="10" applyFont="1" applyBorder="1"/>
    <xf numFmtId="3" fontId="37" fillId="0" borderId="264" xfId="10" applyNumberFormat="1" applyFont="1" applyBorder="1"/>
    <xf numFmtId="3" fontId="26" fillId="0" borderId="264" xfId="10" applyNumberFormat="1" applyFont="1" applyBorder="1"/>
    <xf numFmtId="0" fontId="17" fillId="0" borderId="263" xfId="10" applyFont="1" applyBorder="1"/>
    <xf numFmtId="0" fontId="26" fillId="0" borderId="262" xfId="10" applyFont="1" applyBorder="1" applyAlignment="1">
      <alignment horizontal="center"/>
    </xf>
    <xf numFmtId="0" fontId="37" fillId="0" borderId="264" xfId="10" applyFont="1" applyBorder="1"/>
    <xf numFmtId="3" fontId="39" fillId="0" borderId="264" xfId="10" applyNumberFormat="1" applyFont="1" applyBorder="1"/>
    <xf numFmtId="0" fontId="26" fillId="0" borderId="264" xfId="10" applyFont="1" applyBorder="1"/>
    <xf numFmtId="3" fontId="51" fillId="0" borderId="264" xfId="10" applyNumberFormat="1" applyFont="1" applyBorder="1"/>
    <xf numFmtId="3" fontId="39" fillId="5" borderId="264" xfId="10" applyNumberFormat="1" applyFont="1" applyFill="1" applyBorder="1"/>
    <xf numFmtId="0" fontId="33" fillId="0" borderId="8" xfId="10" applyFont="1" applyBorder="1" applyAlignment="1">
      <alignment wrapText="1"/>
    </xf>
    <xf numFmtId="49" fontId="47" fillId="0" borderId="45" xfId="10" applyNumberFormat="1" applyFont="1" applyBorder="1" applyAlignment="1">
      <alignment vertical="center"/>
    </xf>
    <xf numFmtId="0" fontId="11" fillId="0" borderId="26" xfId="10" applyFont="1" applyFill="1" applyBorder="1" applyAlignment="1">
      <alignment horizontal="left" vertical="center" wrapText="1" indent="3"/>
    </xf>
    <xf numFmtId="3" fontId="33" fillId="0" borderId="8" xfId="10" applyNumberFormat="1" applyFont="1" applyBorder="1"/>
    <xf numFmtId="3" fontId="17" fillId="4" borderId="219" xfId="10" applyNumberFormat="1" applyFont="1" applyFill="1" applyBorder="1"/>
    <xf numFmtId="0" fontId="44" fillId="12" borderId="0" xfId="10" applyFont="1" applyFill="1" applyBorder="1" applyAlignment="1">
      <alignment horizontal="center"/>
    </xf>
    <xf numFmtId="0" fontId="7" fillId="12" borderId="0" xfId="10" applyFill="1"/>
    <xf numFmtId="165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37" fillId="0" borderId="265" xfId="10" applyFont="1" applyBorder="1"/>
    <xf numFmtId="49" fontId="39" fillId="0" borderId="266" xfId="10" applyNumberFormat="1" applyFont="1" applyBorder="1" applyAlignment="1">
      <alignment horizontal="left"/>
    </xf>
    <xf numFmtId="3" fontId="37" fillId="8" borderId="267" xfId="10" applyNumberFormat="1" applyFont="1" applyFill="1" applyBorder="1"/>
    <xf numFmtId="3" fontId="37" fillId="0" borderId="267" xfId="10" applyNumberFormat="1" applyFont="1" applyBorder="1"/>
    <xf numFmtId="3" fontId="37" fillId="0" borderId="267" xfId="10" applyNumberFormat="1" applyFont="1" applyFill="1" applyBorder="1"/>
    <xf numFmtId="49" fontId="27" fillId="0" borderId="268" xfId="10" applyNumberFormat="1" applyFont="1" applyBorder="1"/>
    <xf numFmtId="0" fontId="27" fillId="0" borderId="267" xfId="10" applyFont="1" applyBorder="1"/>
    <xf numFmtId="3" fontId="35" fillId="0" borderId="267" xfId="10" applyNumberFormat="1" applyFont="1" applyFill="1" applyBorder="1"/>
    <xf numFmtId="0" fontId="37" fillId="0" borderId="267" xfId="10" applyFont="1" applyBorder="1" applyAlignment="1">
      <alignment horizontal="left" indent="2"/>
    </xf>
    <xf numFmtId="0" fontId="35" fillId="0" borderId="8" xfId="10" applyFont="1" applyBorder="1" applyAlignment="1">
      <alignment horizontal="left" indent="4"/>
    </xf>
    <xf numFmtId="49" fontId="37" fillId="0" borderId="268" xfId="10" applyNumberFormat="1" applyFont="1" applyBorder="1"/>
    <xf numFmtId="49" fontId="35" fillId="0" borderId="268" xfId="10" applyNumberFormat="1" applyFont="1" applyBorder="1"/>
    <xf numFmtId="49" fontId="17" fillId="0" borderId="48" xfId="10" applyNumberFormat="1" applyFont="1" applyBorder="1" applyAlignment="1">
      <alignment vertical="center"/>
    </xf>
    <xf numFmtId="3" fontId="17" fillId="0" borderId="19" xfId="10" applyNumberFormat="1" applyFont="1" applyFill="1" applyBorder="1" applyAlignment="1">
      <alignment vertical="center"/>
    </xf>
    <xf numFmtId="0" fontId="17" fillId="0" borderId="19" xfId="10" applyFont="1" applyBorder="1" applyAlignment="1">
      <alignment horizontal="left" vertical="center" wrapText="1"/>
    </xf>
    <xf numFmtId="0" fontId="33" fillId="0" borderId="269" xfId="10" applyFont="1" applyBorder="1"/>
    <xf numFmtId="49" fontId="17" fillId="0" borderId="270" xfId="10" applyNumberFormat="1" applyFont="1" applyBorder="1"/>
    <xf numFmtId="3" fontId="17" fillId="0" borderId="219" xfId="10" applyNumberFormat="1" applyFont="1" applyBorder="1"/>
    <xf numFmtId="0" fontId="26" fillId="0" borderId="8" xfId="10" applyFont="1" applyBorder="1" applyAlignment="1">
      <alignment wrapText="1"/>
    </xf>
    <xf numFmtId="49" fontId="26" fillId="0" borderId="145" xfId="10" applyNumberFormat="1" applyFont="1" applyBorder="1" applyAlignment="1">
      <alignment vertical="center"/>
    </xf>
    <xf numFmtId="3" fontId="26" fillId="0" borderId="219" xfId="10" applyNumberFormat="1" applyFont="1" applyFill="1" applyBorder="1" applyAlignment="1">
      <alignment vertical="center"/>
    </xf>
    <xf numFmtId="0" fontId="26" fillId="0" borderId="265" xfId="10" applyFont="1" applyBorder="1"/>
    <xf numFmtId="3" fontId="17" fillId="0" borderId="267" xfId="10" applyNumberFormat="1" applyFont="1" applyBorder="1"/>
    <xf numFmtId="0" fontId="27" fillId="0" borderId="8" xfId="10" applyFont="1" applyBorder="1" applyAlignment="1">
      <alignment wrapText="1"/>
    </xf>
    <xf numFmtId="0" fontId="17" fillId="4" borderId="268" xfId="10" applyFont="1" applyFill="1" applyBorder="1" applyAlignment="1"/>
    <xf numFmtId="0" fontId="17" fillId="4" borderId="266" xfId="10" applyFont="1" applyFill="1" applyBorder="1" applyAlignment="1"/>
    <xf numFmtId="0" fontId="17" fillId="4" borderId="267" xfId="10" applyFont="1" applyFill="1" applyBorder="1" applyAlignment="1"/>
    <xf numFmtId="0" fontId="35" fillId="0" borderId="265" xfId="10" applyFont="1" applyBorder="1"/>
    <xf numFmtId="49" fontId="27" fillId="0" borderId="266" xfId="10" applyNumberFormat="1" applyFont="1" applyBorder="1"/>
    <xf numFmtId="3" fontId="27" fillId="0" borderId="267" xfId="10" applyNumberFormat="1" applyFont="1" applyBorder="1"/>
    <xf numFmtId="3" fontId="27" fillId="0" borderId="219" xfId="10" applyNumberFormat="1" applyFont="1" applyBorder="1"/>
    <xf numFmtId="0" fontId="37" fillId="0" borderId="8" xfId="10" applyFont="1" applyBorder="1" applyAlignment="1">
      <alignment horizontal="left" indent="2"/>
    </xf>
    <xf numFmtId="0" fontId="24" fillId="0" borderId="2" xfId="21" applyFont="1" applyFill="1" applyBorder="1" applyAlignment="1" applyProtection="1">
      <alignment vertical="center" wrapText="1"/>
    </xf>
    <xf numFmtId="0" fontId="10" fillId="0" borderId="14" xfId="21" applyFont="1" applyFill="1" applyBorder="1" applyAlignment="1" applyProtection="1">
      <alignment horizontal="left" vertical="center" wrapText="1" indent="1"/>
    </xf>
    <xf numFmtId="3" fontId="57" fillId="0" borderId="6" xfId="0" applyNumberFormat="1" applyFont="1" applyFill="1" applyBorder="1" applyAlignment="1" applyProtection="1">
      <alignment vertical="center" wrapText="1"/>
    </xf>
    <xf numFmtId="0" fontId="12" fillId="0" borderId="271" xfId="0" applyFont="1" applyFill="1" applyBorder="1" applyAlignment="1" applyProtection="1">
      <alignment horizontal="center" vertical="center" wrapText="1"/>
    </xf>
    <xf numFmtId="49" fontId="11" fillId="0" borderId="267" xfId="21" applyNumberFormat="1" applyFont="1" applyFill="1" applyBorder="1" applyAlignment="1" applyProtection="1">
      <alignment horizontal="left" vertical="center" wrapText="1" indent="1"/>
    </xf>
    <xf numFmtId="3" fontId="11" fillId="0" borderId="272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vertical="center" wrapText="1"/>
    </xf>
    <xf numFmtId="0" fontId="57" fillId="2" borderId="0" xfId="21" applyFont="1" applyFill="1" applyBorder="1" applyAlignment="1" applyProtection="1">
      <alignment vertical="center" wrapText="1"/>
    </xf>
    <xf numFmtId="3" fontId="71" fillId="0" borderId="0" xfId="0" applyNumberFormat="1" applyFont="1" applyFill="1" applyAlignment="1" applyProtection="1">
      <alignment vertical="center" wrapText="1"/>
    </xf>
    <xf numFmtId="0" fontId="24" fillId="2" borderId="0" xfId="21" applyFont="1" applyFill="1" applyBorder="1" applyAlignment="1" applyProtection="1">
      <alignment vertical="center" wrapText="1"/>
    </xf>
    <xf numFmtId="0" fontId="13" fillId="0" borderId="253" xfId="21" applyFont="1" applyFill="1" applyBorder="1" applyAlignment="1" applyProtection="1">
      <alignment vertical="center" wrapText="1"/>
    </xf>
    <xf numFmtId="0" fontId="24" fillId="2" borderId="2" xfId="21" applyFont="1" applyFill="1" applyBorder="1" applyAlignment="1" applyProtection="1">
      <alignment vertical="center" wrapText="1"/>
    </xf>
    <xf numFmtId="0" fontId="62" fillId="0" borderId="253" xfId="21" applyFont="1" applyFill="1" applyBorder="1" applyAlignment="1" applyProtection="1">
      <alignment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3" fontId="12" fillId="0" borderId="24" xfId="0" applyNumberFormat="1" applyFont="1" applyFill="1" applyBorder="1" applyAlignment="1" applyProtection="1">
      <alignment vertical="center" wrapText="1"/>
      <protection locked="0"/>
    </xf>
    <xf numFmtId="3" fontId="11" fillId="0" borderId="259" xfId="0" applyNumberFormat="1" applyFont="1" applyFill="1" applyBorder="1" applyAlignment="1" applyProtection="1">
      <alignment vertical="center" wrapText="1"/>
      <protection locked="0"/>
    </xf>
    <xf numFmtId="0" fontId="44" fillId="0" borderId="0" xfId="10" applyFont="1" applyFill="1" applyBorder="1" applyAlignment="1">
      <alignment horizontal="center"/>
    </xf>
    <xf numFmtId="3" fontId="26" fillId="0" borderId="257" xfId="10" applyNumberFormat="1" applyFont="1" applyBorder="1"/>
    <xf numFmtId="3" fontId="83" fillId="0" borderId="6" xfId="0" applyNumberFormat="1" applyFont="1" applyFill="1" applyBorder="1" applyAlignment="1" applyProtection="1">
      <alignment vertical="center" wrapText="1"/>
    </xf>
    <xf numFmtId="0" fontId="27" fillId="0" borderId="8" xfId="10" applyFont="1" applyFill="1" applyBorder="1"/>
    <xf numFmtId="3" fontId="60" fillId="0" borderId="9" xfId="0" applyNumberFormat="1" applyFont="1" applyFill="1" applyBorder="1" applyAlignment="1" applyProtection="1">
      <alignment vertical="center" wrapText="1"/>
      <protection locked="0"/>
    </xf>
    <xf numFmtId="0" fontId="62" fillId="0" borderId="0" xfId="30" applyFill="1" applyProtection="1"/>
    <xf numFmtId="0" fontId="52" fillId="0" borderId="84" xfId="31" applyFont="1" applyFill="1" applyBorder="1" applyAlignment="1" applyProtection="1">
      <alignment horizontal="right" vertical="center"/>
    </xf>
    <xf numFmtId="0" fontId="22" fillId="0" borderId="273" xfId="30" applyFont="1" applyFill="1" applyBorder="1" applyAlignment="1" applyProtection="1">
      <alignment horizontal="center" vertical="center" wrapText="1"/>
    </xf>
    <xf numFmtId="0" fontId="22" fillId="0" borderId="274" xfId="30" applyFont="1" applyFill="1" applyBorder="1" applyAlignment="1" applyProtection="1">
      <alignment horizontal="center" vertical="center" wrapText="1"/>
    </xf>
    <xf numFmtId="0" fontId="22" fillId="0" borderId="123" xfId="30" applyFont="1" applyFill="1" applyBorder="1" applyAlignment="1" applyProtection="1">
      <alignment horizontal="center" vertical="center" wrapText="1"/>
    </xf>
    <xf numFmtId="0" fontId="14" fillId="0" borderId="0" xfId="30" applyFont="1" applyFill="1" applyProtection="1"/>
    <xf numFmtId="0" fontId="59" fillId="0" borderId="0" xfId="30" applyFont="1" applyFill="1" applyProtection="1"/>
    <xf numFmtId="0" fontId="13" fillId="0" borderId="0" xfId="30" applyFont="1" applyFill="1" applyBorder="1" applyAlignment="1" applyProtection="1">
      <alignment horizontal="center" vertical="center" wrapText="1"/>
    </xf>
    <xf numFmtId="0" fontId="13" fillId="0" borderId="0" xfId="30" applyFont="1" applyFill="1" applyBorder="1" applyAlignment="1" applyProtection="1">
      <alignment vertical="center" wrapText="1"/>
    </xf>
    <xf numFmtId="165" fontId="13" fillId="0" borderId="0" xfId="30" applyNumberFormat="1" applyFont="1" applyFill="1" applyBorder="1" applyAlignment="1" applyProtection="1">
      <alignment horizontal="right" vertical="center" wrapText="1" indent="1"/>
    </xf>
    <xf numFmtId="0" fontId="52" fillId="0" borderId="84" xfId="31" applyFont="1" applyFill="1" applyBorder="1" applyAlignment="1" applyProtection="1">
      <alignment horizontal="right"/>
    </xf>
    <xf numFmtId="0" fontId="62" fillId="0" borderId="0" xfId="30" applyFill="1" applyAlignment="1" applyProtection="1"/>
    <xf numFmtId="0" fontId="22" fillId="0" borderId="85" xfId="30" applyFont="1" applyFill="1" applyBorder="1" applyAlignment="1" applyProtection="1">
      <alignment horizontal="center" vertical="center" wrapText="1"/>
    </xf>
    <xf numFmtId="0" fontId="22" fillId="0" borderId="86" xfId="30" applyFont="1" applyFill="1" applyBorder="1" applyAlignment="1" applyProtection="1">
      <alignment horizontal="center" vertical="center" wrapText="1"/>
    </xf>
    <xf numFmtId="0" fontId="22" fillId="0" borderId="87" xfId="30" applyFont="1" applyFill="1" applyBorder="1" applyAlignment="1" applyProtection="1">
      <alignment horizontal="center" vertical="center" wrapText="1"/>
    </xf>
    <xf numFmtId="0" fontId="85" fillId="0" borderId="0" xfId="30" applyFont="1" applyFill="1" applyProtection="1"/>
    <xf numFmtId="0" fontId="65" fillId="0" borderId="0" xfId="30" applyFont="1" applyFill="1" applyProtection="1"/>
    <xf numFmtId="0" fontId="62" fillId="0" borderId="0" xfId="30" applyFont="1" applyFill="1" applyProtection="1"/>
    <xf numFmtId="0" fontId="62" fillId="0" borderId="0" xfId="30" applyFont="1" applyFill="1" applyAlignment="1" applyProtection="1">
      <alignment horizontal="right" vertical="center" indent="1"/>
    </xf>
    <xf numFmtId="0" fontId="13" fillId="0" borderId="85" xfId="30" applyFont="1" applyFill="1" applyBorder="1" applyAlignment="1" applyProtection="1">
      <alignment horizontal="left" vertical="center" wrapText="1" indent="1"/>
    </xf>
    <xf numFmtId="0" fontId="13" fillId="0" borderId="86" xfId="30" applyFont="1" applyFill="1" applyBorder="1" applyAlignment="1" applyProtection="1">
      <alignment horizontal="left" vertical="center" wrapText="1" indent="1"/>
    </xf>
    <xf numFmtId="165" fontId="13" fillId="0" borderId="87" xfId="30" applyNumberFormat="1" applyFont="1" applyFill="1" applyBorder="1" applyAlignment="1" applyProtection="1">
      <alignment horizontal="right" vertical="center" wrapText="1" indent="1"/>
    </xf>
    <xf numFmtId="0" fontId="10" fillId="0" borderId="0" xfId="30" applyFont="1" applyFill="1" applyProtection="1"/>
    <xf numFmtId="49" fontId="10" fillId="0" borderId="275" xfId="30" applyNumberFormat="1" applyFont="1" applyFill="1" applyBorder="1" applyAlignment="1" applyProtection="1">
      <alignment horizontal="left" vertical="center" wrapText="1" indent="1"/>
    </xf>
    <xf numFmtId="0" fontId="47" fillId="0" borderId="182" xfId="31" applyFont="1" applyBorder="1" applyAlignment="1" applyProtection="1">
      <alignment horizontal="left" wrapText="1" indent="1"/>
    </xf>
    <xf numFmtId="165" fontId="10" fillId="0" borderId="276" xfId="3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77" xfId="30" applyNumberFormat="1" applyFont="1" applyFill="1" applyBorder="1" applyAlignment="1" applyProtection="1">
      <alignment horizontal="left" vertical="center" wrapText="1" indent="1"/>
    </xf>
    <xf numFmtId="0" fontId="47" fillId="0" borderId="209" xfId="31" applyFont="1" applyBorder="1" applyAlignment="1" applyProtection="1">
      <alignment horizontal="left" wrapText="1" indent="1"/>
    </xf>
    <xf numFmtId="165" fontId="10" fillId="0" borderId="181" xfId="3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5" xfId="30" applyNumberFormat="1" applyFont="1" applyFill="1" applyBorder="1" applyAlignment="1" applyProtection="1">
      <alignment horizontal="left" vertical="center" wrapText="1" indent="1"/>
    </xf>
    <xf numFmtId="0" fontId="47" fillId="0" borderId="173" xfId="31" applyFont="1" applyBorder="1" applyAlignment="1" applyProtection="1">
      <alignment horizontal="left" wrapText="1" indent="1"/>
    </xf>
    <xf numFmtId="0" fontId="31" fillId="0" borderId="86" xfId="31" applyFont="1" applyBorder="1" applyAlignment="1" applyProtection="1">
      <alignment horizontal="left" vertical="center" wrapText="1" indent="1"/>
    </xf>
    <xf numFmtId="165" fontId="10" fillId="0" borderId="185" xfId="3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30" applyNumberFormat="1" applyFont="1" applyFill="1" applyBorder="1" applyAlignment="1" applyProtection="1">
      <alignment horizontal="right" vertical="center" wrapText="1" indent="1"/>
    </xf>
    <xf numFmtId="165" fontId="10" fillId="0" borderId="276" xfId="30" applyNumberFormat="1" applyFont="1" applyFill="1" applyBorder="1" applyAlignment="1" applyProtection="1">
      <alignment horizontal="right" vertical="center" wrapText="1" indent="1"/>
    </xf>
    <xf numFmtId="165" fontId="62" fillId="0" borderId="181" xfId="3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85" xfId="3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6" xfId="3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85" xfId="31" applyFont="1" applyBorder="1" applyAlignment="1" applyProtection="1">
      <alignment wrapText="1"/>
    </xf>
    <xf numFmtId="0" fontId="47" fillId="0" borderId="173" xfId="31" applyFont="1" applyBorder="1" applyAlignment="1" applyProtection="1">
      <alignment wrapText="1"/>
    </xf>
    <xf numFmtId="0" fontId="47" fillId="0" borderId="275" xfId="31" applyFont="1" applyBorder="1" applyAlignment="1" applyProtection="1">
      <alignment wrapText="1"/>
    </xf>
    <xf numFmtId="0" fontId="47" fillId="0" borderId="177" xfId="31" applyFont="1" applyBorder="1" applyAlignment="1" applyProtection="1">
      <alignment wrapText="1"/>
    </xf>
    <xf numFmtId="0" fontId="47" fillId="0" borderId="115" xfId="31" applyFont="1" applyBorder="1" applyAlignment="1" applyProtection="1">
      <alignment wrapText="1"/>
    </xf>
    <xf numFmtId="165" fontId="13" fillId="0" borderId="87" xfId="3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86" xfId="31" applyFont="1" applyBorder="1" applyAlignment="1" applyProtection="1">
      <alignment wrapText="1"/>
    </xf>
    <xf numFmtId="0" fontId="31" fillId="0" borderId="277" xfId="31" applyFont="1" applyBorder="1" applyAlignment="1" applyProtection="1">
      <alignment wrapText="1"/>
    </xf>
    <xf numFmtId="0" fontId="31" fillId="0" borderId="278" xfId="31" applyFont="1" applyBorder="1" applyAlignment="1" applyProtection="1">
      <alignment wrapText="1"/>
    </xf>
    <xf numFmtId="0" fontId="57" fillId="0" borderId="86" xfId="30" applyFont="1" applyFill="1" applyBorder="1" applyAlignment="1" applyProtection="1">
      <alignment horizontal="left" vertical="center" wrapText="1" indent="1"/>
    </xf>
    <xf numFmtId="0" fontId="16" fillId="0" borderId="285" xfId="0" applyFont="1" applyFill="1" applyBorder="1" applyAlignment="1" applyProtection="1">
      <alignment horizontal="center" vertical="center" wrapText="1"/>
    </xf>
    <xf numFmtId="3" fontId="12" fillId="0" borderId="286" xfId="0" applyNumberFormat="1" applyFont="1" applyFill="1" applyBorder="1" applyAlignment="1" applyProtection="1">
      <alignment vertical="center" wrapText="1"/>
    </xf>
    <xf numFmtId="3" fontId="12" fillId="0" borderId="259" xfId="0" applyNumberFormat="1" applyFont="1" applyFill="1" applyBorder="1" applyAlignment="1" applyProtection="1">
      <alignment vertical="center" wrapText="1"/>
    </xf>
    <xf numFmtId="3" fontId="13" fillId="0" borderId="87" xfId="30" applyNumberFormat="1" applyFont="1" applyFill="1" applyBorder="1" applyAlignment="1" applyProtection="1">
      <alignment horizontal="right" vertical="center" wrapText="1" indent="1"/>
    </xf>
    <xf numFmtId="0" fontId="13" fillId="0" borderId="273" xfId="30" applyFont="1" applyFill="1" applyBorder="1" applyAlignment="1" applyProtection="1">
      <alignment horizontal="left" vertical="center" wrapText="1" indent="1"/>
    </xf>
    <xf numFmtId="0" fontId="13" fillId="0" borderId="274" xfId="30" applyFont="1" applyFill="1" applyBorder="1" applyAlignment="1" applyProtection="1">
      <alignment vertical="center" wrapText="1"/>
    </xf>
    <xf numFmtId="165" fontId="13" fillId="0" borderId="123" xfId="30" applyNumberFormat="1" applyFont="1" applyFill="1" applyBorder="1" applyAlignment="1" applyProtection="1">
      <alignment horizontal="right" vertical="center" wrapText="1" indent="1"/>
    </xf>
    <xf numFmtId="49" fontId="10" fillId="0" borderId="114" xfId="30" applyNumberFormat="1" applyFont="1" applyFill="1" applyBorder="1" applyAlignment="1" applyProtection="1">
      <alignment horizontal="left" vertical="center" wrapText="1" indent="1"/>
    </xf>
    <xf numFmtId="0" fontId="10" fillId="0" borderId="91" xfId="30" applyFont="1" applyFill="1" applyBorder="1" applyAlignment="1" applyProtection="1">
      <alignment horizontal="left" vertical="center" wrapText="1" indent="1"/>
    </xf>
    <xf numFmtId="165" fontId="10" fillId="0" borderId="92" xfId="3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9" xfId="30" applyFont="1" applyFill="1" applyBorder="1" applyAlignment="1" applyProtection="1">
      <alignment horizontal="left" vertical="center" wrapText="1" indent="1"/>
    </xf>
    <xf numFmtId="0" fontId="10" fillId="0" borderId="279" xfId="30" applyFont="1" applyFill="1" applyBorder="1" applyAlignment="1" applyProtection="1">
      <alignment horizontal="left" vertical="center" wrapText="1" indent="1"/>
    </xf>
    <xf numFmtId="165" fontId="10" fillId="0" borderId="280" xfId="3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30" applyFont="1" applyFill="1" applyBorder="1" applyAlignment="1" applyProtection="1">
      <alignment horizontal="left" vertical="center" wrapText="1" indent="1"/>
    </xf>
    <xf numFmtId="0" fontId="10" fillId="0" borderId="209" xfId="30" applyFont="1" applyFill="1" applyBorder="1" applyAlignment="1" applyProtection="1">
      <alignment horizontal="left" indent="6"/>
    </xf>
    <xf numFmtId="0" fontId="10" fillId="0" borderId="209" xfId="30" applyFont="1" applyFill="1" applyBorder="1" applyAlignment="1" applyProtection="1">
      <alignment horizontal="left" vertical="center" wrapText="1" indent="6"/>
    </xf>
    <xf numFmtId="49" fontId="10" fillId="0" borderId="108" xfId="30" applyNumberFormat="1" applyFont="1" applyFill="1" applyBorder="1" applyAlignment="1" applyProtection="1">
      <alignment horizontal="left" vertical="center" wrapText="1" indent="1"/>
    </xf>
    <xf numFmtId="0" fontId="10" fillId="0" borderId="173" xfId="30" applyFont="1" applyFill="1" applyBorder="1" applyAlignment="1" applyProtection="1">
      <alignment horizontal="left" vertical="center" wrapText="1" indent="6"/>
    </xf>
    <xf numFmtId="49" fontId="10" fillId="0" borderId="281" xfId="30" applyNumberFormat="1" applyFont="1" applyFill="1" applyBorder="1" applyAlignment="1" applyProtection="1">
      <alignment horizontal="left" vertical="center" wrapText="1" indent="1"/>
    </xf>
    <xf numFmtId="0" fontId="10" fillId="0" borderId="187" xfId="30" applyFont="1" applyFill="1" applyBorder="1" applyAlignment="1" applyProtection="1">
      <alignment horizontal="left" vertical="center" wrapText="1" indent="6"/>
    </xf>
    <xf numFmtId="165" fontId="10" fillId="0" borderId="156" xfId="3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6" xfId="30" applyFont="1" applyFill="1" applyBorder="1" applyAlignment="1" applyProtection="1">
      <alignment vertical="center" wrapText="1"/>
    </xf>
    <xf numFmtId="0" fontId="10" fillId="0" borderId="173" xfId="30" applyFont="1" applyFill="1" applyBorder="1" applyAlignment="1" applyProtection="1">
      <alignment horizontal="left" vertical="center" wrapText="1" indent="1"/>
    </xf>
    <xf numFmtId="165" fontId="10" fillId="0" borderId="126" xfId="3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73" xfId="31" applyFont="1" applyBorder="1" applyAlignment="1" applyProtection="1">
      <alignment horizontal="left" vertical="center" wrapText="1" indent="1"/>
    </xf>
    <xf numFmtId="0" fontId="47" fillId="0" borderId="209" xfId="31" applyFont="1" applyBorder="1" applyAlignment="1" applyProtection="1">
      <alignment horizontal="left" vertical="center" wrapText="1" indent="1"/>
    </xf>
    <xf numFmtId="0" fontId="10" fillId="0" borderId="182" xfId="30" applyFont="1" applyFill="1" applyBorder="1" applyAlignment="1" applyProtection="1">
      <alignment horizontal="left" vertical="center" wrapText="1" indent="6"/>
    </xf>
    <xf numFmtId="165" fontId="10" fillId="0" borderId="282" xfId="3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86" xfId="30" applyFont="1" applyFill="1" applyBorder="1" applyAlignment="1" applyProtection="1">
      <alignment horizontal="left" vertical="center" wrapText="1" indent="1"/>
    </xf>
    <xf numFmtId="0" fontId="10" fillId="0" borderId="182" xfId="30" applyFont="1" applyFill="1" applyBorder="1" applyAlignment="1" applyProtection="1">
      <alignment horizontal="left" vertical="center" wrapText="1" indent="1"/>
    </xf>
    <xf numFmtId="49" fontId="10" fillId="0" borderId="283" xfId="30" applyNumberFormat="1" applyFont="1" applyFill="1" applyBorder="1" applyAlignment="1" applyProtection="1">
      <alignment horizontal="left" vertical="center" wrapText="1" indent="1"/>
    </xf>
    <xf numFmtId="0" fontId="10" fillId="0" borderId="284" xfId="30" applyFont="1" applyFill="1" applyBorder="1" applyAlignment="1" applyProtection="1">
      <alignment horizontal="left" vertical="center" wrapText="1" indent="1"/>
    </xf>
    <xf numFmtId="165" fontId="31" fillId="0" borderId="87" xfId="31" applyNumberFormat="1" applyFont="1" applyBorder="1" applyAlignment="1" applyProtection="1">
      <alignment horizontal="right" vertical="center" wrapText="1" indent="1"/>
    </xf>
    <xf numFmtId="165" fontId="31" fillId="0" borderId="87" xfId="31" quotePrefix="1" applyNumberFormat="1" applyFont="1" applyBorder="1" applyAlignment="1" applyProtection="1">
      <alignment horizontal="right" vertical="center" wrapText="1" indent="1"/>
    </xf>
    <xf numFmtId="0" fontId="31" fillId="0" borderId="277" xfId="31" applyFont="1" applyBorder="1" applyAlignment="1" applyProtection="1">
      <alignment horizontal="left" vertical="center" wrapText="1" indent="1"/>
    </xf>
    <xf numFmtId="0" fontId="31" fillId="0" borderId="278" xfId="31" applyFont="1" applyBorder="1" applyAlignment="1" applyProtection="1">
      <alignment horizontal="left" vertical="center" wrapText="1" indent="1"/>
    </xf>
    <xf numFmtId="0" fontId="10" fillId="0" borderId="0" xfId="30" applyFont="1" applyFill="1" applyBorder="1" applyProtection="1"/>
    <xf numFmtId="0" fontId="24" fillId="0" borderId="85" xfId="30" applyFont="1" applyFill="1" applyBorder="1" applyAlignment="1" applyProtection="1">
      <alignment horizontal="center" vertical="center" wrapText="1"/>
    </xf>
    <xf numFmtId="0" fontId="24" fillId="0" borderId="86" xfId="30" applyFont="1" applyFill="1" applyBorder="1" applyAlignment="1" applyProtection="1">
      <alignment horizontal="center" vertical="center" wrapText="1"/>
    </xf>
    <xf numFmtId="0" fontId="24" fillId="0" borderId="87" xfId="30" applyFont="1" applyFill="1" applyBorder="1" applyAlignment="1" applyProtection="1">
      <alignment horizontal="center" vertical="center" wrapText="1"/>
    </xf>
    <xf numFmtId="3" fontId="65" fillId="0" borderId="24" xfId="0" applyNumberFormat="1" applyFont="1" applyFill="1" applyBorder="1" applyAlignment="1" applyProtection="1">
      <alignment vertical="center" wrapText="1"/>
      <protection locked="0"/>
    </xf>
    <xf numFmtId="3" fontId="58" fillId="0" borderId="0" xfId="0" applyNumberFormat="1" applyFont="1" applyFill="1" applyAlignment="1">
      <alignment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49" fontId="11" fillId="0" borderId="285" xfId="21" applyNumberFormat="1" applyFont="1" applyFill="1" applyBorder="1" applyAlignment="1" applyProtection="1">
      <alignment horizontal="center" vertical="center" wrapText="1"/>
    </xf>
    <xf numFmtId="0" fontId="11" fillId="0" borderId="285" xfId="21" applyFont="1" applyFill="1" applyBorder="1" applyAlignment="1" applyProtection="1">
      <alignment horizontal="left" vertical="center" wrapText="1" indent="1"/>
    </xf>
    <xf numFmtId="3" fontId="83" fillId="0" borderId="259" xfId="0" applyNumberFormat="1" applyFont="1" applyFill="1" applyBorder="1" applyAlignment="1" applyProtection="1">
      <alignment vertical="center" wrapText="1"/>
      <protection locked="0"/>
    </xf>
    <xf numFmtId="3" fontId="11" fillId="0" borderId="286" xfId="0" applyNumberFormat="1" applyFont="1" applyFill="1" applyBorder="1" applyAlignment="1" applyProtection="1">
      <alignment vertical="center" wrapText="1"/>
      <protection locked="0"/>
    </xf>
    <xf numFmtId="49" fontId="82" fillId="0" borderId="219" xfId="21" applyNumberFormat="1" applyFont="1" applyFill="1" applyBorder="1" applyAlignment="1" applyProtection="1">
      <alignment horizontal="center" vertical="center" wrapText="1"/>
    </xf>
    <xf numFmtId="0" fontId="82" fillId="0" borderId="219" xfId="21" applyFont="1" applyFill="1" applyBorder="1" applyAlignment="1" applyProtection="1">
      <alignment horizontal="left" vertical="center" wrapText="1" indent="1"/>
    </xf>
    <xf numFmtId="3" fontId="87" fillId="0" borderId="239" xfId="0" applyNumberFormat="1" applyFont="1" applyFill="1" applyBorder="1" applyAlignment="1" applyProtection="1">
      <alignment vertical="center" wrapText="1"/>
      <protection locked="0"/>
    </xf>
    <xf numFmtId="3" fontId="82" fillId="0" borderId="240" xfId="0" applyNumberFormat="1" applyFont="1" applyFill="1" applyBorder="1" applyAlignment="1" applyProtection="1">
      <alignment vertical="center" wrapText="1"/>
      <protection locked="0"/>
    </xf>
    <xf numFmtId="49" fontId="82" fillId="0" borderId="23" xfId="21" applyNumberFormat="1" applyFont="1" applyFill="1" applyBorder="1" applyAlignment="1" applyProtection="1">
      <alignment horizontal="center" vertical="center" wrapText="1"/>
    </xf>
    <xf numFmtId="0" fontId="82" fillId="0" borderId="23" xfId="21" applyFont="1" applyFill="1" applyBorder="1" applyAlignment="1" applyProtection="1">
      <alignment horizontal="left" vertical="center" wrapText="1" indent="1"/>
    </xf>
    <xf numFmtId="3" fontId="87" fillId="0" borderId="23" xfId="0" applyNumberFormat="1" applyFont="1" applyFill="1" applyBorder="1" applyAlignment="1" applyProtection="1">
      <alignment vertical="center" wrapText="1"/>
      <protection locked="0"/>
    </xf>
    <xf numFmtId="3" fontId="82" fillId="0" borderId="17" xfId="0" applyNumberFormat="1" applyFont="1" applyFill="1" applyBorder="1" applyAlignment="1" applyProtection="1">
      <alignment vertical="center" wrapText="1"/>
      <protection locked="0"/>
    </xf>
    <xf numFmtId="0" fontId="26" fillId="0" borderId="252" xfId="0" applyFont="1" applyBorder="1" applyAlignment="1" applyProtection="1">
      <alignment horizontal="center" vertical="center" wrapText="1"/>
    </xf>
    <xf numFmtId="3" fontId="12" fillId="0" borderId="155" xfId="0" applyNumberFormat="1" applyFont="1" applyFill="1" applyBorder="1" applyAlignment="1" applyProtection="1">
      <alignment vertical="center" wrapText="1"/>
      <protection locked="0"/>
    </xf>
    <xf numFmtId="3" fontId="82" fillId="0" borderId="12" xfId="0" applyNumberFormat="1" applyFont="1" applyFill="1" applyBorder="1" applyAlignment="1" applyProtection="1">
      <alignment vertical="center" wrapText="1"/>
      <protection locked="0"/>
    </xf>
    <xf numFmtId="3" fontId="83" fillId="0" borderId="12" xfId="0" applyNumberFormat="1" applyFont="1" applyFill="1" applyBorder="1" applyAlignment="1" applyProtection="1">
      <alignment vertical="center" wrapText="1"/>
      <protection locked="0"/>
    </xf>
    <xf numFmtId="165" fontId="12" fillId="0" borderId="259" xfId="0" applyNumberFormat="1" applyFont="1" applyFill="1" applyBorder="1" applyAlignment="1" applyProtection="1">
      <alignment vertical="center" wrapText="1"/>
    </xf>
    <xf numFmtId="49" fontId="26" fillId="0" borderId="268" xfId="10" applyNumberFormat="1" applyFont="1" applyBorder="1"/>
    <xf numFmtId="3" fontId="37" fillId="0" borderId="0" xfId="10" applyNumberFormat="1" applyFont="1" applyBorder="1"/>
    <xf numFmtId="3" fontId="47" fillId="0" borderId="181" xfId="23" applyNumberFormat="1" applyFont="1" applyFill="1" applyBorder="1" applyAlignment="1" applyProtection="1">
      <alignment vertical="center" wrapText="1"/>
      <protection locked="0"/>
    </xf>
    <xf numFmtId="3" fontId="47" fillId="0" borderId="98" xfId="23" applyNumberFormat="1" applyFont="1" applyFill="1" applyBorder="1" applyAlignment="1" applyProtection="1">
      <alignment vertical="center" wrapText="1"/>
    </xf>
    <xf numFmtId="3" fontId="10" fillId="0" borderId="179" xfId="23" applyNumberFormat="1" applyFont="1" applyFill="1" applyBorder="1" applyAlignment="1" applyProtection="1">
      <alignment vertical="center" wrapText="1"/>
      <protection locked="0"/>
    </xf>
    <xf numFmtId="3" fontId="13" fillId="0" borderId="85" xfId="23" applyNumberFormat="1" applyFont="1" applyFill="1" applyBorder="1" applyAlignment="1">
      <alignment vertical="center" wrapText="1"/>
    </xf>
    <xf numFmtId="3" fontId="24" fillId="0" borderId="86" xfId="23" applyNumberFormat="1" applyFont="1" applyFill="1" applyBorder="1" applyAlignment="1">
      <alignment vertical="center" wrapText="1"/>
    </xf>
    <xf numFmtId="3" fontId="24" fillId="0" borderId="87" xfId="23" applyNumberFormat="1" applyFont="1" applyFill="1" applyBorder="1" applyAlignment="1">
      <alignment vertical="center" wrapText="1"/>
    </xf>
    <xf numFmtId="0" fontId="62" fillId="0" borderId="0" xfId="32" applyFill="1" applyProtection="1">
      <protection locked="0"/>
    </xf>
    <xf numFmtId="0" fontId="62" fillId="0" borderId="0" xfId="32" applyFill="1" applyProtection="1"/>
    <xf numFmtId="0" fontId="52" fillId="0" borderId="0" xfId="31" applyFont="1" applyFill="1" applyAlignment="1">
      <alignment horizontal="right"/>
    </xf>
    <xf numFmtId="0" fontId="66" fillId="0" borderId="273" xfId="32" applyFont="1" applyFill="1" applyBorder="1" applyAlignment="1" applyProtection="1">
      <alignment horizontal="center" vertical="center" wrapText="1"/>
    </xf>
    <xf numFmtId="0" fontId="66" fillId="0" borderId="274" xfId="32" applyFont="1" applyFill="1" applyBorder="1" applyAlignment="1" applyProtection="1">
      <alignment horizontal="center" vertical="center"/>
    </xf>
    <xf numFmtId="0" fontId="66" fillId="0" borderId="123" xfId="32" applyFont="1" applyFill="1" applyBorder="1" applyAlignment="1" applyProtection="1">
      <alignment horizontal="center" vertical="center"/>
    </xf>
    <xf numFmtId="0" fontId="14" fillId="0" borderId="85" xfId="32" applyFont="1" applyFill="1" applyBorder="1" applyAlignment="1" applyProtection="1">
      <alignment horizontal="left" vertical="center" indent="1"/>
    </xf>
    <xf numFmtId="0" fontId="62" fillId="0" borderId="0" xfId="32" applyFill="1" applyAlignment="1" applyProtection="1">
      <alignment vertical="center"/>
    </xf>
    <xf numFmtId="0" fontId="14" fillId="0" borderId="177" xfId="32" applyFont="1" applyFill="1" applyBorder="1" applyAlignment="1" applyProtection="1">
      <alignment horizontal="left" vertical="center" indent="1"/>
    </xf>
    <xf numFmtId="0" fontId="14" fillId="0" borderId="209" xfId="32" applyFont="1" applyFill="1" applyBorder="1" applyAlignment="1" applyProtection="1">
      <alignment horizontal="left" vertical="center" wrapText="1" indent="1"/>
    </xf>
    <xf numFmtId="165" fontId="14" fillId="0" borderId="209" xfId="32" applyNumberFormat="1" applyFont="1" applyFill="1" applyBorder="1" applyAlignment="1" applyProtection="1">
      <alignment vertical="center"/>
      <protection locked="0"/>
    </xf>
    <xf numFmtId="165" fontId="14" fillId="0" borderId="181" xfId="32" applyNumberFormat="1" applyFont="1" applyFill="1" applyBorder="1" applyAlignment="1" applyProtection="1">
      <alignment vertical="center"/>
    </xf>
    <xf numFmtId="0" fontId="62" fillId="0" borderId="0" xfId="32" applyFill="1" applyAlignment="1" applyProtection="1">
      <alignment vertical="center"/>
      <protection locked="0"/>
    </xf>
    <xf numFmtId="0" fontId="14" fillId="0" borderId="182" xfId="32" applyFont="1" applyFill="1" applyBorder="1" applyAlignment="1" applyProtection="1">
      <alignment horizontal="left" vertical="center" wrapText="1" indent="1"/>
    </xf>
    <xf numFmtId="165" fontId="14" fillId="0" borderId="182" xfId="32" applyNumberFormat="1" applyFont="1" applyFill="1" applyBorder="1" applyAlignment="1" applyProtection="1">
      <alignment vertical="center"/>
      <protection locked="0"/>
    </xf>
    <xf numFmtId="165" fontId="14" fillId="0" borderId="276" xfId="32" applyNumberFormat="1" applyFont="1" applyFill="1" applyBorder="1" applyAlignment="1" applyProtection="1">
      <alignment vertical="center"/>
    </xf>
    <xf numFmtId="0" fontId="14" fillId="0" borderId="209" xfId="32" applyFont="1" applyFill="1" applyBorder="1" applyAlignment="1" applyProtection="1">
      <alignment horizontal="left" vertical="center" indent="1"/>
    </xf>
    <xf numFmtId="0" fontId="25" fillId="0" borderId="86" xfId="32" applyFont="1" applyFill="1" applyBorder="1" applyAlignment="1" applyProtection="1">
      <alignment horizontal="left" vertical="center" indent="1"/>
    </xf>
    <xf numFmtId="165" fontId="22" fillId="0" borderId="86" xfId="32" applyNumberFormat="1" applyFont="1" applyFill="1" applyBorder="1" applyAlignment="1" applyProtection="1">
      <alignment vertical="center"/>
    </xf>
    <xf numFmtId="165" fontId="22" fillId="0" borderId="87" xfId="32" applyNumberFormat="1" applyFont="1" applyFill="1" applyBorder="1" applyAlignment="1" applyProtection="1">
      <alignment vertical="center"/>
    </xf>
    <xf numFmtId="0" fontId="14" fillId="0" borderId="182" xfId="32" applyFont="1" applyFill="1" applyBorder="1" applyAlignment="1" applyProtection="1">
      <alignment horizontal="left" vertical="center" indent="1"/>
    </xf>
    <xf numFmtId="0" fontId="25" fillId="0" borderId="86" xfId="32" applyFont="1" applyFill="1" applyBorder="1" applyAlignment="1" applyProtection="1">
      <alignment horizontal="left" indent="1"/>
    </xf>
    <xf numFmtId="165" fontId="22" fillId="0" borderId="86" xfId="32" applyNumberFormat="1" applyFont="1" applyFill="1" applyBorder="1" applyProtection="1"/>
    <xf numFmtId="165" fontId="22" fillId="0" borderId="87" xfId="32" applyNumberFormat="1" applyFont="1" applyFill="1" applyBorder="1" applyProtection="1"/>
    <xf numFmtId="0" fontId="59" fillId="0" borderId="0" xfId="32" applyFont="1" applyFill="1" applyProtection="1"/>
    <xf numFmtId="0" fontId="60" fillId="0" borderId="0" xfId="32" applyFont="1" applyFill="1" applyProtection="1">
      <protection locked="0"/>
    </xf>
    <xf numFmtId="0" fontId="65" fillId="0" borderId="0" xfId="32" applyFont="1" applyFill="1" applyProtection="1">
      <protection locked="0"/>
    </xf>
    <xf numFmtId="0" fontId="62" fillId="0" borderId="182" xfId="30" applyFont="1" applyFill="1" applyBorder="1" applyProtection="1"/>
    <xf numFmtId="0" fontId="47" fillId="0" borderId="209" xfId="0" applyFont="1" applyBorder="1" applyAlignment="1">
      <alignment horizontal="justify" wrapText="1"/>
    </xf>
    <xf numFmtId="0" fontId="47" fillId="0" borderId="209" xfId="0" applyFont="1" applyBorder="1" applyAlignment="1">
      <alignment wrapText="1"/>
    </xf>
    <xf numFmtId="0" fontId="47" fillId="0" borderId="187" xfId="0" applyFont="1" applyBorder="1" applyAlignment="1">
      <alignment wrapText="1"/>
    </xf>
    <xf numFmtId="0" fontId="89" fillId="0" borderId="0" xfId="28" applyFont="1"/>
    <xf numFmtId="0" fontId="90" fillId="0" borderId="0" xfId="28" applyFont="1" applyAlignment="1">
      <alignment horizontal="right"/>
    </xf>
    <xf numFmtId="0" fontId="92" fillId="0" borderId="187" xfId="28" applyFont="1" applyBorder="1" applyAlignment="1">
      <alignment horizontal="center" vertical="center" wrapText="1"/>
    </xf>
    <xf numFmtId="0" fontId="93" fillId="0" borderId="114" xfId="28" applyFont="1" applyBorder="1" applyAlignment="1">
      <alignment horizontal="center" wrapText="1"/>
    </xf>
    <xf numFmtId="0" fontId="93" fillId="0" borderId="91" xfId="28" applyFont="1" applyBorder="1" applyAlignment="1">
      <alignment horizontal="center" wrapText="1"/>
    </xf>
    <xf numFmtId="0" fontId="93" fillId="0" borderId="175" xfId="28" applyFont="1" applyBorder="1" applyAlignment="1">
      <alignment horizontal="center" wrapText="1"/>
    </xf>
    <xf numFmtId="0" fontId="93" fillId="0" borderId="177" xfId="28" applyFont="1" applyBorder="1" applyAlignment="1">
      <alignment horizontal="left" vertical="center" wrapText="1"/>
    </xf>
    <xf numFmtId="49" fontId="93" fillId="0" borderId="209" xfId="28" applyNumberFormat="1" applyFont="1" applyBorder="1" applyAlignment="1">
      <alignment horizontal="center" wrapText="1"/>
    </xf>
    <xf numFmtId="174" fontId="93" fillId="0" borderId="209" xfId="33" applyNumberFormat="1" applyFont="1" applyBorder="1" applyAlignment="1" applyProtection="1">
      <alignment horizontal="right" vertical="center" wrapText="1"/>
      <protection locked="0"/>
    </xf>
    <xf numFmtId="174" fontId="93" fillId="0" borderId="178" xfId="33" applyNumberFormat="1" applyFont="1" applyBorder="1" applyAlignment="1">
      <alignment horizontal="right" vertical="center" wrapText="1"/>
    </xf>
    <xf numFmtId="0" fontId="93" fillId="0" borderId="283" xfId="28" applyFont="1" applyBorder="1" applyAlignment="1">
      <alignment horizontal="left" vertical="center" wrapText="1"/>
    </xf>
    <xf numFmtId="49" fontId="93" fillId="0" borderId="102" xfId="28" applyNumberFormat="1" applyFont="1" applyBorder="1" applyAlignment="1">
      <alignment horizontal="center" wrapText="1"/>
    </xf>
    <xf numFmtId="174" fontId="93" fillId="0" borderId="102" xfId="33" applyNumberFormat="1" applyFont="1" applyBorder="1" applyAlignment="1" applyProtection="1">
      <alignment horizontal="right" vertical="center" wrapText="1"/>
      <protection locked="0"/>
    </xf>
    <xf numFmtId="174" fontId="93" fillId="0" borderId="183" xfId="33" applyNumberFormat="1" applyFont="1" applyBorder="1" applyAlignment="1">
      <alignment horizontal="right" vertical="center" wrapText="1"/>
    </xf>
    <xf numFmtId="0" fontId="92" fillId="0" borderId="85" xfId="28" applyFont="1" applyBorder="1" applyAlignment="1">
      <alignment horizontal="left" vertical="center" wrapText="1"/>
    </xf>
    <xf numFmtId="49" fontId="92" fillId="0" borderId="86" xfId="28" applyNumberFormat="1" applyFont="1" applyBorder="1" applyAlignment="1">
      <alignment horizontal="center" wrapText="1"/>
    </xf>
    <xf numFmtId="174" fontId="92" fillId="0" borderId="86" xfId="33" applyNumberFormat="1" applyFont="1" applyBorder="1" applyAlignment="1">
      <alignment horizontal="right" vertical="center" wrapText="1"/>
    </xf>
    <xf numFmtId="174" fontId="93" fillId="0" borderId="98" xfId="33" applyNumberFormat="1" applyFont="1" applyBorder="1" applyAlignment="1">
      <alignment horizontal="right" vertical="center" wrapText="1"/>
    </xf>
    <xf numFmtId="0" fontId="92" fillId="0" borderId="108" xfId="28" applyFont="1" applyBorder="1" applyAlignment="1">
      <alignment horizontal="left" vertical="center" wrapText="1"/>
    </xf>
    <xf numFmtId="49" fontId="92" fillId="0" borderId="284" xfId="28" applyNumberFormat="1" applyFont="1" applyBorder="1" applyAlignment="1">
      <alignment horizontal="center" wrapText="1"/>
    </xf>
    <xf numFmtId="174" fontId="92" fillId="0" borderId="284" xfId="33" applyNumberFormat="1" applyFont="1" applyBorder="1" applyAlignment="1">
      <alignment horizontal="right" vertical="center" wrapText="1"/>
    </xf>
    <xf numFmtId="174" fontId="93" fillId="0" borderId="93" xfId="33" applyNumberFormat="1" applyFont="1" applyBorder="1" applyAlignment="1">
      <alignment horizontal="right" vertical="center" wrapText="1"/>
    </xf>
    <xf numFmtId="0" fontId="92" fillId="0" borderId="86" xfId="28" applyFont="1" applyBorder="1" applyAlignment="1">
      <alignment horizontal="center" wrapText="1"/>
    </xf>
    <xf numFmtId="0" fontId="93" fillId="0" borderId="275" xfId="28" applyFont="1" applyBorder="1" applyAlignment="1">
      <alignment horizontal="left" vertical="center" wrapText="1"/>
    </xf>
    <xf numFmtId="0" fontId="93" fillId="0" borderId="182" xfId="28" applyFont="1" applyBorder="1" applyAlignment="1">
      <alignment horizontal="center" wrapText="1"/>
    </xf>
    <xf numFmtId="174" fontId="93" fillId="0" borderId="182" xfId="33" applyNumberFormat="1" applyFont="1" applyBorder="1" applyAlignment="1" applyProtection="1">
      <alignment horizontal="right" vertical="center" wrapText="1"/>
      <protection locked="0"/>
    </xf>
    <xf numFmtId="174" fontId="93" fillId="0" borderId="292" xfId="33" applyNumberFormat="1" applyFont="1" applyBorder="1" applyAlignment="1">
      <alignment horizontal="right" vertical="center" wrapText="1"/>
    </xf>
    <xf numFmtId="0" fontId="93" fillId="0" borderId="209" xfId="28" applyFont="1" applyBorder="1" applyAlignment="1">
      <alignment horizontal="center" wrapText="1"/>
    </xf>
    <xf numFmtId="0" fontId="93" fillId="0" borderId="102" xfId="28" applyFont="1" applyBorder="1" applyAlignment="1">
      <alignment horizontal="center" wrapText="1"/>
    </xf>
    <xf numFmtId="165" fontId="84" fillId="0" borderId="84" xfId="30" applyNumberFormat="1" applyFont="1" applyFill="1" applyBorder="1" applyAlignment="1" applyProtection="1">
      <alignment horizontal="left" vertical="center"/>
    </xf>
    <xf numFmtId="165" fontId="84" fillId="0" borderId="84" xfId="30" applyNumberFormat="1" applyFont="1" applyFill="1" applyBorder="1" applyAlignment="1" applyProtection="1">
      <alignment horizontal="left"/>
    </xf>
    <xf numFmtId="0" fontId="13" fillId="0" borderId="108" xfId="30" applyFont="1" applyFill="1" applyBorder="1" applyAlignment="1" applyProtection="1">
      <alignment horizontal="left" vertical="center" wrapText="1" indent="1"/>
    </xf>
    <xf numFmtId="165" fontId="13" fillId="0" borderId="287" xfId="30" applyNumberFormat="1" applyFont="1" applyFill="1" applyBorder="1" applyAlignment="1" applyProtection="1">
      <alignment horizontal="right" vertical="center" wrapText="1" indent="1"/>
    </xf>
    <xf numFmtId="0" fontId="24" fillId="0" borderId="105" xfId="30" applyFont="1" applyFill="1" applyBorder="1" applyAlignment="1" applyProtection="1">
      <alignment horizontal="center" vertical="center" wrapText="1"/>
    </xf>
    <xf numFmtId="0" fontId="22" fillId="0" borderId="288" xfId="30" applyFont="1" applyFill="1" applyBorder="1" applyAlignment="1" applyProtection="1">
      <alignment horizontal="center" vertical="center" wrapText="1"/>
    </xf>
    <xf numFmtId="0" fontId="31" fillId="0" borderId="105" xfId="31" applyFont="1" applyBorder="1" applyAlignment="1" applyProtection="1">
      <alignment horizontal="left" vertical="center" wrapText="1" indent="1"/>
    </xf>
    <xf numFmtId="0" fontId="47" fillId="0" borderId="290" xfId="31" applyFont="1" applyBorder="1" applyAlignment="1" applyProtection="1">
      <alignment horizontal="left" wrapText="1" indent="1"/>
    </xf>
    <xf numFmtId="0" fontId="47" fillId="0" borderId="180" xfId="31" applyFont="1" applyBorder="1" applyAlignment="1" applyProtection="1">
      <alignment horizontal="left" wrapText="1" indent="1"/>
    </xf>
    <xf numFmtId="0" fontId="47" fillId="0" borderId="293" xfId="31" applyFont="1" applyBorder="1" applyAlignment="1" applyProtection="1">
      <alignment horizontal="left" wrapText="1" indent="1"/>
    </xf>
    <xf numFmtId="0" fontId="22" fillId="0" borderId="105" xfId="30" applyFont="1" applyFill="1" applyBorder="1" applyAlignment="1" applyProtection="1">
      <alignment horizontal="center" vertical="center" wrapText="1"/>
    </xf>
    <xf numFmtId="0" fontId="13" fillId="0" borderId="105" xfId="30" applyFont="1" applyFill="1" applyBorder="1" applyAlignment="1" applyProtection="1">
      <alignment vertical="center" wrapText="1"/>
    </xf>
    <xf numFmtId="3" fontId="65" fillId="0" borderId="87" xfId="30" applyNumberFormat="1" applyFont="1" applyFill="1" applyBorder="1" applyAlignment="1" applyProtection="1">
      <alignment horizontal="right" vertical="center" wrapText="1" indent="1"/>
    </xf>
    <xf numFmtId="0" fontId="13" fillId="0" borderId="277" xfId="30" applyFont="1" applyFill="1" applyBorder="1" applyAlignment="1" applyProtection="1">
      <alignment horizontal="left" vertical="center" wrapText="1" indent="1"/>
    </xf>
    <xf numFmtId="0" fontId="94" fillId="0" borderId="177" xfId="32" applyFont="1" applyFill="1" applyBorder="1" applyAlignment="1" applyProtection="1">
      <alignment horizontal="left" vertical="center" indent="1"/>
    </xf>
    <xf numFmtId="0" fontId="65" fillId="0" borderId="84" xfId="31" applyFont="1" applyFill="1" applyBorder="1" applyAlignment="1" applyProtection="1">
      <alignment horizontal="right" vertical="center"/>
    </xf>
    <xf numFmtId="165" fontId="84" fillId="0" borderId="84" xfId="30" applyNumberFormat="1" applyFont="1" applyFill="1" applyBorder="1" applyAlignment="1" applyProtection="1">
      <alignment horizontal="left" vertical="center"/>
    </xf>
    <xf numFmtId="165" fontId="86" fillId="13" borderId="0" xfId="30" applyNumberFormat="1" applyFont="1" applyFill="1" applyBorder="1" applyAlignment="1" applyProtection="1">
      <alignment horizontal="center" vertical="center"/>
    </xf>
    <xf numFmtId="165" fontId="84" fillId="0" borderId="84" xfId="30" applyNumberFormat="1" applyFont="1" applyFill="1" applyBorder="1" applyAlignment="1" applyProtection="1">
      <alignment horizontal="left"/>
    </xf>
    <xf numFmtId="0" fontId="65" fillId="0" borderId="0" xfId="30" applyFont="1" applyFill="1" applyAlignment="1" applyProtection="1">
      <alignment horizontal="center" wrapText="1"/>
    </xf>
    <xf numFmtId="165" fontId="20" fillId="0" borderId="0" xfId="0" applyNumberFormat="1" applyFont="1" applyFill="1" applyBorder="1" applyAlignment="1">
      <alignment horizontal="center" textRotation="180" wrapText="1"/>
    </xf>
    <xf numFmtId="165" fontId="10" fillId="0" borderId="0" xfId="0" applyNumberFormat="1" applyFont="1" applyFill="1" applyBorder="1" applyAlignment="1">
      <alignment horizontal="right" vertical="center"/>
    </xf>
    <xf numFmtId="165" fontId="12" fillId="0" borderId="29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5" fontId="12" fillId="0" borderId="42" xfId="0" applyNumberFormat="1" applyFont="1" applyFill="1" applyBorder="1" applyAlignment="1">
      <alignment horizontal="center" vertical="center" wrapText="1"/>
    </xf>
    <xf numFmtId="165" fontId="12" fillId="0" borderId="40" xfId="0" applyNumberFormat="1" applyFont="1" applyFill="1" applyBorder="1" applyAlignment="1">
      <alignment horizontal="center" vertical="center" wrapText="1"/>
    </xf>
    <xf numFmtId="0" fontId="12" fillId="0" borderId="2" xfId="21" applyFont="1" applyFill="1" applyBorder="1" applyAlignment="1" applyProtection="1">
      <alignment horizontal="left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13" fillId="0" borderId="43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32" fillId="4" borderId="8" xfId="10" applyFont="1" applyFill="1" applyBorder="1" applyAlignment="1">
      <alignment horizontal="left" vertical="center"/>
    </xf>
    <xf numFmtId="0" fontId="17" fillId="4" borderId="8" xfId="10" applyFont="1" applyFill="1" applyBorder="1" applyAlignment="1"/>
    <xf numFmtId="0" fontId="17" fillId="2" borderId="8" xfId="10" applyFont="1" applyFill="1" applyBorder="1" applyAlignment="1"/>
    <xf numFmtId="0" fontId="43" fillId="3" borderId="8" xfId="10" applyFont="1" applyFill="1" applyBorder="1" applyAlignment="1">
      <alignment wrapText="1"/>
    </xf>
    <xf numFmtId="0" fontId="32" fillId="2" borderId="265" xfId="10" applyFont="1" applyFill="1" applyBorder="1" applyAlignment="1">
      <alignment horizontal="left" wrapText="1"/>
    </xf>
    <xf numFmtId="0" fontId="32" fillId="2" borderId="268" xfId="10" applyFont="1" applyFill="1" applyBorder="1" applyAlignment="1">
      <alignment horizontal="left" wrapText="1"/>
    </xf>
    <xf numFmtId="0" fontId="32" fillId="2" borderId="266" xfId="10" applyFont="1" applyFill="1" applyBorder="1" applyAlignment="1">
      <alignment horizontal="left" wrapText="1"/>
    </xf>
    <xf numFmtId="49" fontId="39" fillId="0" borderId="45" xfId="10" applyNumberFormat="1" applyFont="1" applyBorder="1" applyAlignment="1">
      <alignment horizontal="left"/>
    </xf>
    <xf numFmtId="49" fontId="39" fillId="0" borderId="127" xfId="10" applyNumberFormat="1" applyFont="1" applyBorder="1" applyAlignment="1">
      <alignment horizontal="left"/>
    </xf>
    <xf numFmtId="49" fontId="39" fillId="0" borderId="128" xfId="10" applyNumberFormat="1" applyFont="1" applyBorder="1" applyAlignment="1">
      <alignment horizontal="left"/>
    </xf>
    <xf numFmtId="49" fontId="40" fillId="0" borderId="45" xfId="10" applyNumberFormat="1" applyFont="1" applyBorder="1" applyAlignment="1">
      <alignment horizontal="left"/>
    </xf>
    <xf numFmtId="49" fontId="42" fillId="0" borderId="45" xfId="10" applyNumberFormat="1" applyFont="1" applyBorder="1" applyAlignment="1">
      <alignment horizontal="center"/>
    </xf>
    <xf numFmtId="49" fontId="42" fillId="0" borderId="194" xfId="10" applyNumberFormat="1" applyFont="1" applyBorder="1" applyAlignment="1">
      <alignment horizontal="center"/>
    </xf>
    <xf numFmtId="49" fontId="42" fillId="0" borderId="195" xfId="10" applyNumberFormat="1" applyFont="1" applyBorder="1" applyAlignment="1">
      <alignment horizontal="center"/>
    </xf>
    <xf numFmtId="49" fontId="41" fillId="0" borderId="45" xfId="10" applyNumberFormat="1" applyFont="1" applyBorder="1" applyAlignment="1">
      <alignment horizontal="center"/>
    </xf>
    <xf numFmtId="0" fontId="31" fillId="0" borderId="26" xfId="10" applyFont="1" applyBorder="1" applyAlignment="1">
      <alignment horizontal="center" vertical="center"/>
    </xf>
    <xf numFmtId="49" fontId="37" fillId="0" borderId="45" xfId="10" applyNumberFormat="1" applyFont="1" applyBorder="1" applyAlignment="1"/>
    <xf numFmtId="0" fontId="44" fillId="0" borderId="32" xfId="10" applyFont="1" applyBorder="1" applyAlignment="1">
      <alignment horizontal="center"/>
    </xf>
    <xf numFmtId="0" fontId="44" fillId="0" borderId="8" xfId="10" applyFont="1" applyFill="1" applyBorder="1" applyAlignment="1">
      <alignment horizontal="center"/>
    </xf>
    <xf numFmtId="0" fontId="17" fillId="2" borderId="32" xfId="10" applyFont="1" applyFill="1" applyBorder="1" applyAlignment="1"/>
    <xf numFmtId="0" fontId="31" fillId="0" borderId="8" xfId="10" applyFont="1" applyBorder="1" applyAlignment="1">
      <alignment horizontal="center" vertical="center"/>
    </xf>
    <xf numFmtId="0" fontId="44" fillId="0" borderId="19" xfId="10" applyFont="1" applyBorder="1" applyAlignment="1">
      <alignment horizont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47" fillId="0" borderId="78" xfId="0" applyFont="1" applyBorder="1" applyAlignment="1" applyProtection="1">
      <alignment horizontal="right" vertical="top"/>
      <protection locked="0"/>
    </xf>
    <xf numFmtId="0" fontId="37" fillId="0" borderId="78" xfId="0" applyFont="1" applyBorder="1" applyAlignment="1" applyProtection="1">
      <alignment horizontal="right" vertical="top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166" fontId="12" fillId="0" borderId="43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49" fontId="1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10" applyFont="1" applyBorder="1" applyAlignment="1">
      <alignment horizontal="center"/>
    </xf>
    <xf numFmtId="0" fontId="17" fillId="0" borderId="53" xfId="10" applyFont="1" applyBorder="1" applyAlignment="1">
      <alignment horizontal="center"/>
    </xf>
    <xf numFmtId="165" fontId="13" fillId="0" borderId="10" xfId="0" applyNumberFormat="1" applyFont="1" applyFill="1" applyBorder="1" applyAlignment="1" applyProtection="1">
      <alignment horizontal="center" vertical="center"/>
    </xf>
    <xf numFmtId="165" fontId="0" fillId="0" borderId="73" xfId="0" applyNumberForma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26" fillId="2" borderId="129" xfId="13" applyFont="1" applyFill="1" applyBorder="1" applyAlignment="1">
      <alignment horizontal="center" vertical="center"/>
    </xf>
    <xf numFmtId="0" fontId="26" fillId="2" borderId="130" xfId="13" applyFont="1" applyFill="1" applyBorder="1" applyAlignment="1">
      <alignment horizontal="center" vertical="center"/>
    </xf>
    <xf numFmtId="0" fontId="26" fillId="2" borderId="131" xfId="13" applyFont="1" applyFill="1" applyBorder="1" applyAlignment="1">
      <alignment horizontal="center" vertical="center"/>
    </xf>
    <xf numFmtId="165" fontId="0" fillId="0" borderId="73" xfId="0" applyNumberForma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left" vertical="center" wrapText="1"/>
    </xf>
    <xf numFmtId="0" fontId="26" fillId="2" borderId="7" xfId="13" applyFont="1" applyFill="1" applyBorder="1" applyAlignment="1">
      <alignment horizontal="center" vertical="center"/>
    </xf>
    <xf numFmtId="0" fontId="26" fillId="2" borderId="18" xfId="13" applyFont="1" applyFill="1" applyBorder="1" applyAlignment="1">
      <alignment horizontal="center" vertical="center"/>
    </xf>
    <xf numFmtId="165" fontId="13" fillId="0" borderId="74" xfId="0" applyNumberFormat="1" applyFont="1" applyFill="1" applyBorder="1" applyAlignment="1" applyProtection="1">
      <alignment horizontal="center" vertical="center"/>
    </xf>
    <xf numFmtId="49" fontId="37" fillId="0" borderId="45" xfId="10" applyNumberFormat="1" applyFont="1" applyBorder="1" applyAlignment="1">
      <alignment horizontal="left" vertical="center"/>
    </xf>
    <xf numFmtId="49" fontId="35" fillId="0" borderId="45" xfId="10" applyNumberFormat="1" applyFont="1" applyBorder="1" applyAlignment="1">
      <alignment horizontal="left" vertical="center"/>
    </xf>
    <xf numFmtId="0" fontId="31" fillId="0" borderId="10" xfId="10" applyFont="1" applyBorder="1" applyAlignment="1">
      <alignment horizontal="center" vertical="center"/>
    </xf>
    <xf numFmtId="0" fontId="31" fillId="0" borderId="79" xfId="10" applyFont="1" applyBorder="1" applyAlignment="1">
      <alignment horizontal="center" vertical="center"/>
    </xf>
    <xf numFmtId="165" fontId="24" fillId="0" borderId="0" xfId="2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3" fillId="0" borderId="1" xfId="2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center" vertical="center" wrapText="1"/>
    </xf>
    <xf numFmtId="0" fontId="13" fillId="0" borderId="11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2" borderId="1" xfId="21" applyFont="1" applyFill="1" applyBorder="1" applyAlignment="1" applyProtection="1">
      <alignment horizontal="left"/>
    </xf>
    <xf numFmtId="0" fontId="14" fillId="0" borderId="34" xfId="21" applyFont="1" applyFill="1" applyBorder="1" applyAlignment="1">
      <alignment horizontal="justify" vertical="center" wrapText="1"/>
    </xf>
    <xf numFmtId="174" fontId="55" fillId="0" borderId="0" xfId="20" applyNumberFormat="1" applyFont="1" applyAlignment="1">
      <alignment horizontal="center"/>
    </xf>
    <xf numFmtId="3" fontId="55" fillId="0" borderId="0" xfId="20" applyNumberFormat="1" applyFont="1" applyAlignment="1">
      <alignment horizontal="center"/>
    </xf>
    <xf numFmtId="0" fontId="29" fillId="6" borderId="136" xfId="20" applyFont="1" applyFill="1" applyBorder="1" applyAlignment="1">
      <alignment horizontal="center" vertical="center" wrapText="1"/>
    </xf>
    <xf numFmtId="0" fontId="29" fillId="6" borderId="132" xfId="20" applyFont="1" applyFill="1" applyBorder="1" applyAlignment="1">
      <alignment horizontal="center" vertical="center" wrapText="1"/>
    </xf>
    <xf numFmtId="0" fontId="29" fillId="6" borderId="83" xfId="20" applyFont="1" applyFill="1" applyBorder="1" applyAlignment="1">
      <alignment horizontal="center" vertical="center" wrapText="1"/>
    </xf>
    <xf numFmtId="0" fontId="29" fillId="6" borderId="84" xfId="20" applyFont="1" applyFill="1" applyBorder="1" applyAlignment="1">
      <alignment horizontal="center" vertical="center" wrapText="1"/>
    </xf>
    <xf numFmtId="0" fontId="12" fillId="6" borderId="80" xfId="20" applyFont="1" applyFill="1" applyBorder="1" applyAlignment="1">
      <alignment horizontal="center"/>
    </xf>
    <xf numFmtId="0" fontId="12" fillId="6" borderId="81" xfId="20" applyFont="1" applyFill="1" applyBorder="1" applyAlignment="1">
      <alignment horizontal="center"/>
    </xf>
    <xf numFmtId="0" fontId="12" fillId="6" borderId="82" xfId="20" applyFont="1" applyFill="1" applyBorder="1" applyAlignment="1">
      <alignment horizontal="center"/>
    </xf>
    <xf numFmtId="0" fontId="21" fillId="0" borderId="132" xfId="20" applyFont="1" applyBorder="1" applyAlignment="1">
      <alignment horizontal="center" vertical="center" wrapText="1"/>
    </xf>
    <xf numFmtId="0" fontId="21" fillId="0" borderId="135" xfId="20" applyFont="1" applyBorder="1" applyAlignment="1">
      <alignment horizontal="center" vertical="center" wrapText="1"/>
    </xf>
    <xf numFmtId="0" fontId="13" fillId="6" borderId="80" xfId="20" applyFont="1" applyFill="1" applyBorder="1" applyAlignment="1">
      <alignment horizontal="center" vertical="center"/>
    </xf>
    <xf numFmtId="0" fontId="13" fillId="6" borderId="81" xfId="20" applyFont="1" applyFill="1" applyBorder="1" applyAlignment="1">
      <alignment horizontal="center" vertical="center"/>
    </xf>
    <xf numFmtId="0" fontId="69" fillId="0" borderId="81" xfId="28" applyFont="1" applyBorder="1" applyAlignment="1">
      <alignment horizontal="center" vertical="center"/>
    </xf>
    <xf numFmtId="3" fontId="13" fillId="6" borderId="81" xfId="29" applyNumberFormat="1" applyFont="1" applyFill="1" applyBorder="1" applyAlignment="1">
      <alignment horizontal="right"/>
    </xf>
    <xf numFmtId="3" fontId="13" fillId="6" borderId="82" xfId="29" applyNumberFormat="1" applyFont="1" applyFill="1" applyBorder="1" applyAlignment="1">
      <alignment horizontal="right"/>
    </xf>
    <xf numFmtId="174" fontId="12" fillId="6" borderId="84" xfId="29" applyNumberFormat="1" applyFont="1" applyFill="1" applyBorder="1" applyAlignment="1">
      <alignment horizontal="center"/>
    </xf>
    <xf numFmtId="174" fontId="12" fillId="6" borderId="82" xfId="29" applyNumberFormat="1" applyFont="1" applyFill="1" applyBorder="1" applyAlignment="1">
      <alignment horizontal="center"/>
    </xf>
    <xf numFmtId="49" fontId="76" fillId="0" borderId="109" xfId="26" applyNumberFormat="1" applyFont="1" applyBorder="1" applyAlignment="1">
      <alignment horizontal="center"/>
    </xf>
    <xf numFmtId="49" fontId="76" fillId="0" borderId="94" xfId="26" applyNumberFormat="1" applyFont="1" applyBorder="1" applyAlignment="1">
      <alignment horizontal="center"/>
    </xf>
    <xf numFmtId="0" fontId="78" fillId="0" borderId="115" xfId="26" applyFont="1" applyBorder="1" applyAlignment="1"/>
    <xf numFmtId="0" fontId="78" fillId="0" borderId="116" xfId="26" applyFont="1" applyBorder="1" applyAlignment="1"/>
    <xf numFmtId="3" fontId="38" fillId="0" borderId="103" xfId="26" applyNumberFormat="1" applyFont="1" applyBorder="1" applyAlignment="1">
      <alignment horizontal="center"/>
    </xf>
    <xf numFmtId="3" fontId="38" fillId="0" borderId="111" xfId="26" applyNumberFormat="1" applyFont="1" applyBorder="1" applyAlignment="1">
      <alignment horizontal="center"/>
    </xf>
    <xf numFmtId="165" fontId="13" fillId="0" borderId="80" xfId="23" applyNumberFormat="1" applyFont="1" applyFill="1" applyBorder="1" applyAlignment="1">
      <alignment horizontal="left" vertical="center" wrapText="1" indent="2"/>
    </xf>
    <xf numFmtId="165" fontId="13" fillId="0" borderId="82" xfId="23" applyNumberFormat="1" applyFont="1" applyFill="1" applyBorder="1" applyAlignment="1">
      <alignment horizontal="left" vertical="center" wrapText="1" indent="2"/>
    </xf>
    <xf numFmtId="0" fontId="72" fillId="0" borderId="0" xfId="23" applyNumberFormat="1" applyFont="1" applyFill="1" applyAlignment="1">
      <alignment horizontal="left" wrapText="1"/>
    </xf>
    <xf numFmtId="165" fontId="24" fillId="0" borderId="175" xfId="23" applyNumberFormat="1" applyFont="1" applyFill="1" applyBorder="1" applyAlignment="1">
      <alignment horizontal="center" vertical="center" wrapText="1"/>
    </xf>
    <xf numFmtId="165" fontId="24" fillId="0" borderId="104" xfId="23" applyNumberFormat="1" applyFont="1" applyFill="1" applyBorder="1" applyAlignment="1">
      <alignment horizontal="center" vertical="center" wrapText="1"/>
    </xf>
    <xf numFmtId="165" fontId="24" fillId="0" borderId="175" xfId="23" applyNumberFormat="1" applyFont="1" applyFill="1" applyBorder="1" applyAlignment="1">
      <alignment horizontal="center" vertical="center"/>
    </xf>
    <xf numFmtId="165" fontId="24" fillId="0" borderId="104" xfId="23" applyNumberFormat="1" applyFont="1" applyFill="1" applyBorder="1" applyAlignment="1">
      <alignment horizontal="center" vertical="center"/>
    </xf>
    <xf numFmtId="165" fontId="24" fillId="0" borderId="120" xfId="23" applyNumberFormat="1" applyFont="1" applyFill="1" applyBorder="1" applyAlignment="1">
      <alignment horizontal="center" vertical="center"/>
    </xf>
    <xf numFmtId="165" fontId="24" fillId="0" borderId="121" xfId="23" applyNumberFormat="1" applyFont="1" applyFill="1" applyBorder="1" applyAlignment="1">
      <alignment horizontal="center" vertical="center"/>
    </xf>
    <xf numFmtId="165" fontId="64" fillId="0" borderId="0" xfId="23" applyNumberFormat="1" applyFill="1" applyAlignment="1">
      <alignment horizontal="center" vertical="center" wrapText="1"/>
    </xf>
    <xf numFmtId="165" fontId="72" fillId="0" borderId="0" xfId="23" applyNumberFormat="1" applyFont="1" applyFill="1" applyAlignment="1">
      <alignment horizontal="center" vertical="center" wrapText="1"/>
    </xf>
    <xf numFmtId="0" fontId="13" fillId="0" borderId="0" xfId="17" applyFont="1" applyFill="1" applyBorder="1" applyAlignment="1" applyProtection="1">
      <alignment horizontal="left" wrapText="1"/>
      <protection locked="0"/>
    </xf>
    <xf numFmtId="0" fontId="21" fillId="0" borderId="0" xfId="17" applyFont="1" applyFill="1" applyBorder="1" applyAlignment="1">
      <alignment horizontal="right"/>
    </xf>
    <xf numFmtId="3" fontId="10" fillId="0" borderId="2" xfId="17" applyNumberFormat="1" applyFont="1" applyFill="1" applyBorder="1" applyAlignment="1" applyProtection="1">
      <alignment horizontal="right" vertical="center"/>
      <protection locked="0"/>
    </xf>
    <xf numFmtId="3" fontId="13" fillId="0" borderId="39" xfId="17" applyNumberFormat="1" applyFont="1" applyFill="1" applyBorder="1" applyAlignment="1" applyProtection="1">
      <alignment horizontal="right" vertical="center"/>
      <protection locked="0"/>
    </xf>
    <xf numFmtId="0" fontId="65" fillId="0" borderId="0" xfId="32" applyFont="1" applyFill="1" applyAlignment="1" applyProtection="1">
      <alignment horizontal="center" wrapText="1"/>
    </xf>
    <xf numFmtId="0" fontId="65" fillId="0" borderId="0" xfId="32" applyFont="1" applyFill="1" applyAlignment="1" applyProtection="1">
      <alignment horizontal="center"/>
    </xf>
    <xf numFmtId="0" fontId="19" fillId="0" borderId="105" xfId="32" applyFont="1" applyFill="1" applyBorder="1" applyAlignment="1" applyProtection="1">
      <alignment horizontal="left" vertical="center" indent="1"/>
    </xf>
    <xf numFmtId="0" fontId="19" fillId="0" borderId="81" xfId="32" applyFont="1" applyFill="1" applyBorder="1" applyAlignment="1" applyProtection="1">
      <alignment horizontal="left" vertical="center" indent="1"/>
    </xf>
    <xf numFmtId="0" fontId="19" fillId="0" borderId="82" xfId="32" applyFont="1" applyFill="1" applyBorder="1" applyAlignment="1" applyProtection="1">
      <alignment horizontal="left" vertical="center" indent="1"/>
    </xf>
    <xf numFmtId="165" fontId="24" fillId="0" borderId="88" xfId="23" applyNumberFormat="1" applyFont="1" applyFill="1" applyBorder="1" applyAlignment="1">
      <alignment horizontal="center" vertical="center" wrapText="1"/>
    </xf>
    <xf numFmtId="165" fontId="24" fillId="0" borderId="88" xfId="23" applyNumberFormat="1" applyFont="1" applyFill="1" applyBorder="1" applyAlignment="1">
      <alignment horizontal="center" vertical="center"/>
    </xf>
    <xf numFmtId="0" fontId="88" fillId="0" borderId="0" xfId="28" applyFont="1" applyAlignment="1" applyProtection="1">
      <alignment horizontal="center" vertical="center" wrapText="1"/>
      <protection locked="0"/>
    </xf>
    <xf numFmtId="0" fontId="91" fillId="0" borderId="273" xfId="28" applyFont="1" applyBorder="1" applyAlignment="1">
      <alignment horizontal="center" vertical="center" wrapText="1"/>
    </xf>
    <xf numFmtId="0" fontId="91" fillId="0" borderId="108" xfId="28" applyFont="1" applyBorder="1" applyAlignment="1">
      <alignment horizontal="center" vertical="center" wrapText="1"/>
    </xf>
    <xf numFmtId="0" fontId="91" fillId="0" borderId="277" xfId="28" applyFont="1" applyBorder="1" applyAlignment="1">
      <alignment horizontal="center" vertical="center" wrapText="1"/>
    </xf>
    <xf numFmtId="0" fontId="91" fillId="0" borderId="274" xfId="28" applyFont="1" applyBorder="1" applyAlignment="1">
      <alignment horizontal="center" vertical="center" wrapText="1"/>
    </xf>
    <xf numFmtId="0" fontId="91" fillId="0" borderId="284" xfId="28" applyFont="1" applyBorder="1" applyAlignment="1">
      <alignment horizontal="center" vertical="center" wrapText="1"/>
    </xf>
    <xf numFmtId="0" fontId="91" fillId="0" borderId="278" xfId="28" applyFont="1" applyBorder="1" applyAlignment="1">
      <alignment horizontal="center" vertical="center" wrapText="1"/>
    </xf>
    <xf numFmtId="0" fontId="91" fillId="0" borderId="288" xfId="28" applyFont="1" applyBorder="1" applyAlignment="1">
      <alignment horizontal="center" vertical="center" wrapText="1"/>
    </xf>
    <xf numFmtId="0" fontId="91" fillId="0" borderId="289" xfId="28" applyFont="1" applyBorder="1" applyAlignment="1">
      <alignment horizontal="center" vertical="center" wrapText="1"/>
    </xf>
    <xf numFmtId="0" fontId="91" fillId="0" borderId="290" xfId="28" applyFont="1" applyBorder="1" applyAlignment="1">
      <alignment horizontal="center" vertical="center" wrapText="1"/>
    </xf>
    <xf numFmtId="0" fontId="91" fillId="0" borderId="291" xfId="28" applyFont="1" applyBorder="1" applyAlignment="1">
      <alignment horizontal="center" vertical="center" wrapText="1"/>
    </xf>
    <xf numFmtId="0" fontId="91" fillId="0" borderId="175" xfId="28" applyFont="1" applyBorder="1" applyAlignment="1">
      <alignment horizontal="center" vertical="center" wrapText="1"/>
    </xf>
    <xf numFmtId="0" fontId="91" fillId="0" borderId="93" xfId="28" applyFont="1" applyBorder="1" applyAlignment="1">
      <alignment horizontal="center" vertical="center" wrapText="1"/>
    </xf>
    <xf numFmtId="0" fontId="91" fillId="0" borderId="104" xfId="28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7" fillId="0" borderId="54" xfId="10" applyFont="1" applyBorder="1" applyAlignment="1">
      <alignment horizontal="center"/>
    </xf>
    <xf numFmtId="49" fontId="26" fillId="0" borderId="54" xfId="10" applyNumberFormat="1" applyFont="1" applyBorder="1" applyAlignment="1">
      <alignment horizontal="left"/>
    </xf>
  </cellXfs>
  <cellStyles count="34">
    <cellStyle name="Ezres" xfId="1" builtinId="3"/>
    <cellStyle name="Ezres 2" xfId="2"/>
    <cellStyle name="Ezres 2 2" xfId="3"/>
    <cellStyle name="Ezres 2 3" xfId="4"/>
    <cellStyle name="Ezres 2 3 2" xfId="29"/>
    <cellStyle name="Ezres 3" xfId="5"/>
    <cellStyle name="Ezres 4" xfId="6"/>
    <cellStyle name="Ezres 5" xfId="7"/>
    <cellStyle name="Ezres 6" xfId="33"/>
    <cellStyle name="Hiperhivatkozás" xfId="8"/>
    <cellStyle name="Már látott hiperhivatkozás" xfId="9"/>
    <cellStyle name="Normál" xfId="0" builtinId="0"/>
    <cellStyle name="Normál 10" xfId="26"/>
    <cellStyle name="Normál 11" xfId="31"/>
    <cellStyle name="Normál 2" xfId="10"/>
    <cellStyle name="Normál 2 2" xfId="11"/>
    <cellStyle name="Normál 2 2 2" xfId="24"/>
    <cellStyle name="Normál 2_11 mellék 2011.06.30." xfId="12"/>
    <cellStyle name="Normál 3" xfId="13"/>
    <cellStyle name="Normál 4" xfId="14"/>
    <cellStyle name="Normál 4 2" xfId="15"/>
    <cellStyle name="Normál 4 2 2" xfId="28"/>
    <cellStyle name="Normál 5" xfId="16"/>
    <cellStyle name="Normál 5 2" xfId="17"/>
    <cellStyle name="Normál 6" xfId="18"/>
    <cellStyle name="Normál 7" xfId="19"/>
    <cellStyle name="Normál 8" xfId="22"/>
    <cellStyle name="Normál 9" xfId="25"/>
    <cellStyle name="Normál 9 2" xfId="27"/>
    <cellStyle name="Normál_2005. normatíva" xfId="20"/>
    <cellStyle name="Normál_KVIREND 2" xfId="23"/>
    <cellStyle name="Normál_KVRENMUNKA" xfId="21"/>
    <cellStyle name="Normál_KVRENMUNKA 2" xfId="30"/>
    <cellStyle name="Normál_SEGEDLETEK 2" xfId="32"/>
  </cellStyles>
  <dxfs count="2">
    <dxf>
      <font>
        <b val="0"/>
        <condense val="0"/>
        <extend val="0"/>
        <sz val="11"/>
        <color indexed="13"/>
      </font>
    </dxf>
    <dxf>
      <font>
        <b val="0"/>
        <condense val="0"/>
        <extend val="0"/>
        <sz val="11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5"/>
  <sheetViews>
    <sheetView tabSelected="1" zoomScale="110" zoomScaleNormal="110" zoomScaleSheetLayoutView="100" workbookViewId="0">
      <selection activeCell="D13" sqref="D13"/>
    </sheetView>
  </sheetViews>
  <sheetFormatPr defaultRowHeight="15.75" x14ac:dyDescent="0.25"/>
  <cols>
    <col min="1" max="1" width="8.83203125" style="1335" customWidth="1"/>
    <col min="2" max="2" width="49" style="1335" customWidth="1"/>
    <col min="3" max="3" width="16.6640625" style="1335" customWidth="1"/>
    <col min="4" max="4" width="15.33203125" style="1335" customWidth="1"/>
    <col min="5" max="5" width="16.6640625" style="1336" customWidth="1"/>
    <col min="6" max="6" width="9" style="1318" customWidth="1"/>
    <col min="7" max="258" width="9.33203125" style="1318"/>
    <col min="259" max="259" width="9.5" style="1318" customWidth="1"/>
    <col min="260" max="260" width="91.6640625" style="1318" customWidth="1"/>
    <col min="261" max="261" width="21.6640625" style="1318" customWidth="1"/>
    <col min="262" max="262" width="9" style="1318" customWidth="1"/>
    <col min="263" max="514" width="9.33203125" style="1318"/>
    <col min="515" max="515" width="9.5" style="1318" customWidth="1"/>
    <col min="516" max="516" width="91.6640625" style="1318" customWidth="1"/>
    <col min="517" max="517" width="21.6640625" style="1318" customWidth="1"/>
    <col min="518" max="518" width="9" style="1318" customWidth="1"/>
    <col min="519" max="770" width="9.33203125" style="1318"/>
    <col min="771" max="771" width="9.5" style="1318" customWidth="1"/>
    <col min="772" max="772" width="91.6640625" style="1318" customWidth="1"/>
    <col min="773" max="773" width="21.6640625" style="1318" customWidth="1"/>
    <col min="774" max="774" width="9" style="1318" customWidth="1"/>
    <col min="775" max="1026" width="9.33203125" style="1318"/>
    <col min="1027" max="1027" width="9.5" style="1318" customWidth="1"/>
    <col min="1028" max="1028" width="91.6640625" style="1318" customWidth="1"/>
    <col min="1029" max="1029" width="21.6640625" style="1318" customWidth="1"/>
    <col min="1030" max="1030" width="9" style="1318" customWidth="1"/>
    <col min="1031" max="1282" width="9.33203125" style="1318"/>
    <col min="1283" max="1283" width="9.5" style="1318" customWidth="1"/>
    <col min="1284" max="1284" width="91.6640625" style="1318" customWidth="1"/>
    <col min="1285" max="1285" width="21.6640625" style="1318" customWidth="1"/>
    <col min="1286" max="1286" width="9" style="1318" customWidth="1"/>
    <col min="1287" max="1538" width="9.33203125" style="1318"/>
    <col min="1539" max="1539" width="9.5" style="1318" customWidth="1"/>
    <col min="1540" max="1540" width="91.6640625" style="1318" customWidth="1"/>
    <col min="1541" max="1541" width="21.6640625" style="1318" customWidth="1"/>
    <col min="1542" max="1542" width="9" style="1318" customWidth="1"/>
    <col min="1543" max="1794" width="9.33203125" style="1318"/>
    <col min="1795" max="1795" width="9.5" style="1318" customWidth="1"/>
    <col min="1796" max="1796" width="91.6640625" style="1318" customWidth="1"/>
    <col min="1797" max="1797" width="21.6640625" style="1318" customWidth="1"/>
    <col min="1798" max="1798" width="9" style="1318" customWidth="1"/>
    <col min="1799" max="2050" width="9.33203125" style="1318"/>
    <col min="2051" max="2051" width="9.5" style="1318" customWidth="1"/>
    <col min="2052" max="2052" width="91.6640625" style="1318" customWidth="1"/>
    <col min="2053" max="2053" width="21.6640625" style="1318" customWidth="1"/>
    <col min="2054" max="2054" width="9" style="1318" customWidth="1"/>
    <col min="2055" max="2306" width="9.33203125" style="1318"/>
    <col min="2307" max="2307" width="9.5" style="1318" customWidth="1"/>
    <col min="2308" max="2308" width="91.6640625" style="1318" customWidth="1"/>
    <col min="2309" max="2309" width="21.6640625" style="1318" customWidth="1"/>
    <col min="2310" max="2310" width="9" style="1318" customWidth="1"/>
    <col min="2311" max="2562" width="9.33203125" style="1318"/>
    <col min="2563" max="2563" width="9.5" style="1318" customWidth="1"/>
    <col min="2564" max="2564" width="91.6640625" style="1318" customWidth="1"/>
    <col min="2565" max="2565" width="21.6640625" style="1318" customWidth="1"/>
    <col min="2566" max="2566" width="9" style="1318" customWidth="1"/>
    <col min="2567" max="2818" width="9.33203125" style="1318"/>
    <col min="2819" max="2819" width="9.5" style="1318" customWidth="1"/>
    <col min="2820" max="2820" width="91.6640625" style="1318" customWidth="1"/>
    <col min="2821" max="2821" width="21.6640625" style="1318" customWidth="1"/>
    <col min="2822" max="2822" width="9" style="1318" customWidth="1"/>
    <col min="2823" max="3074" width="9.33203125" style="1318"/>
    <col min="3075" max="3075" width="9.5" style="1318" customWidth="1"/>
    <col min="3076" max="3076" width="91.6640625" style="1318" customWidth="1"/>
    <col min="3077" max="3077" width="21.6640625" style="1318" customWidth="1"/>
    <col min="3078" max="3078" width="9" style="1318" customWidth="1"/>
    <col min="3079" max="3330" width="9.33203125" style="1318"/>
    <col min="3331" max="3331" width="9.5" style="1318" customWidth="1"/>
    <col min="3332" max="3332" width="91.6640625" style="1318" customWidth="1"/>
    <col min="3333" max="3333" width="21.6640625" style="1318" customWidth="1"/>
    <col min="3334" max="3334" width="9" style="1318" customWidth="1"/>
    <col min="3335" max="3586" width="9.33203125" style="1318"/>
    <col min="3587" max="3587" width="9.5" style="1318" customWidth="1"/>
    <col min="3588" max="3588" width="91.6640625" style="1318" customWidth="1"/>
    <col min="3589" max="3589" width="21.6640625" style="1318" customWidth="1"/>
    <col min="3590" max="3590" width="9" style="1318" customWidth="1"/>
    <col min="3591" max="3842" width="9.33203125" style="1318"/>
    <col min="3843" max="3843" width="9.5" style="1318" customWidth="1"/>
    <col min="3844" max="3844" width="91.6640625" style="1318" customWidth="1"/>
    <col min="3845" max="3845" width="21.6640625" style="1318" customWidth="1"/>
    <col min="3846" max="3846" width="9" style="1318" customWidth="1"/>
    <col min="3847" max="4098" width="9.33203125" style="1318"/>
    <col min="4099" max="4099" width="9.5" style="1318" customWidth="1"/>
    <col min="4100" max="4100" width="91.6640625" style="1318" customWidth="1"/>
    <col min="4101" max="4101" width="21.6640625" style="1318" customWidth="1"/>
    <col min="4102" max="4102" width="9" style="1318" customWidth="1"/>
    <col min="4103" max="4354" width="9.33203125" style="1318"/>
    <col min="4355" max="4355" width="9.5" style="1318" customWidth="1"/>
    <col min="4356" max="4356" width="91.6640625" style="1318" customWidth="1"/>
    <col min="4357" max="4357" width="21.6640625" style="1318" customWidth="1"/>
    <col min="4358" max="4358" width="9" style="1318" customWidth="1"/>
    <col min="4359" max="4610" width="9.33203125" style="1318"/>
    <col min="4611" max="4611" width="9.5" style="1318" customWidth="1"/>
    <col min="4612" max="4612" width="91.6640625" style="1318" customWidth="1"/>
    <col min="4613" max="4613" width="21.6640625" style="1318" customWidth="1"/>
    <col min="4614" max="4614" width="9" style="1318" customWidth="1"/>
    <col min="4615" max="4866" width="9.33203125" style="1318"/>
    <col min="4867" max="4867" width="9.5" style="1318" customWidth="1"/>
    <col min="4868" max="4868" width="91.6640625" style="1318" customWidth="1"/>
    <col min="4869" max="4869" width="21.6640625" style="1318" customWidth="1"/>
    <col min="4870" max="4870" width="9" style="1318" customWidth="1"/>
    <col min="4871" max="5122" width="9.33203125" style="1318"/>
    <col min="5123" max="5123" width="9.5" style="1318" customWidth="1"/>
    <col min="5124" max="5124" width="91.6640625" style="1318" customWidth="1"/>
    <col min="5125" max="5125" width="21.6640625" style="1318" customWidth="1"/>
    <col min="5126" max="5126" width="9" style="1318" customWidth="1"/>
    <col min="5127" max="5378" width="9.33203125" style="1318"/>
    <col min="5379" max="5379" width="9.5" style="1318" customWidth="1"/>
    <col min="5380" max="5380" width="91.6640625" style="1318" customWidth="1"/>
    <col min="5381" max="5381" width="21.6640625" style="1318" customWidth="1"/>
    <col min="5382" max="5382" width="9" style="1318" customWidth="1"/>
    <col min="5383" max="5634" width="9.33203125" style="1318"/>
    <col min="5635" max="5635" width="9.5" style="1318" customWidth="1"/>
    <col min="5636" max="5636" width="91.6640625" style="1318" customWidth="1"/>
    <col min="5637" max="5637" width="21.6640625" style="1318" customWidth="1"/>
    <col min="5638" max="5638" width="9" style="1318" customWidth="1"/>
    <col min="5639" max="5890" width="9.33203125" style="1318"/>
    <col min="5891" max="5891" width="9.5" style="1318" customWidth="1"/>
    <col min="5892" max="5892" width="91.6640625" style="1318" customWidth="1"/>
    <col min="5893" max="5893" width="21.6640625" style="1318" customWidth="1"/>
    <col min="5894" max="5894" width="9" style="1318" customWidth="1"/>
    <col min="5895" max="6146" width="9.33203125" style="1318"/>
    <col min="6147" max="6147" width="9.5" style="1318" customWidth="1"/>
    <col min="6148" max="6148" width="91.6640625" style="1318" customWidth="1"/>
    <col min="6149" max="6149" width="21.6640625" style="1318" customWidth="1"/>
    <col min="6150" max="6150" width="9" style="1318" customWidth="1"/>
    <col min="6151" max="6402" width="9.33203125" style="1318"/>
    <col min="6403" max="6403" width="9.5" style="1318" customWidth="1"/>
    <col min="6404" max="6404" width="91.6640625" style="1318" customWidth="1"/>
    <col min="6405" max="6405" width="21.6640625" style="1318" customWidth="1"/>
    <col min="6406" max="6406" width="9" style="1318" customWidth="1"/>
    <col min="6407" max="6658" width="9.33203125" style="1318"/>
    <col min="6659" max="6659" width="9.5" style="1318" customWidth="1"/>
    <col min="6660" max="6660" width="91.6640625" style="1318" customWidth="1"/>
    <col min="6661" max="6661" width="21.6640625" style="1318" customWidth="1"/>
    <col min="6662" max="6662" width="9" style="1318" customWidth="1"/>
    <col min="6663" max="6914" width="9.33203125" style="1318"/>
    <col min="6915" max="6915" width="9.5" style="1318" customWidth="1"/>
    <col min="6916" max="6916" width="91.6640625" style="1318" customWidth="1"/>
    <col min="6917" max="6917" width="21.6640625" style="1318" customWidth="1"/>
    <col min="6918" max="6918" width="9" style="1318" customWidth="1"/>
    <col min="6919" max="7170" width="9.33203125" style="1318"/>
    <col min="7171" max="7171" width="9.5" style="1318" customWidth="1"/>
    <col min="7172" max="7172" width="91.6640625" style="1318" customWidth="1"/>
    <col min="7173" max="7173" width="21.6640625" style="1318" customWidth="1"/>
    <col min="7174" max="7174" width="9" style="1318" customWidth="1"/>
    <col min="7175" max="7426" width="9.33203125" style="1318"/>
    <col min="7427" max="7427" width="9.5" style="1318" customWidth="1"/>
    <col min="7428" max="7428" width="91.6640625" style="1318" customWidth="1"/>
    <col min="7429" max="7429" width="21.6640625" style="1318" customWidth="1"/>
    <col min="7430" max="7430" width="9" style="1318" customWidth="1"/>
    <col min="7431" max="7682" width="9.33203125" style="1318"/>
    <col min="7683" max="7683" width="9.5" style="1318" customWidth="1"/>
    <col min="7684" max="7684" width="91.6640625" style="1318" customWidth="1"/>
    <col min="7685" max="7685" width="21.6640625" style="1318" customWidth="1"/>
    <col min="7686" max="7686" width="9" style="1318" customWidth="1"/>
    <col min="7687" max="7938" width="9.33203125" style="1318"/>
    <col min="7939" max="7939" width="9.5" style="1318" customWidth="1"/>
    <col min="7940" max="7940" width="91.6640625" style="1318" customWidth="1"/>
    <col min="7941" max="7941" width="21.6640625" style="1318" customWidth="1"/>
    <col min="7942" max="7942" width="9" style="1318" customWidth="1"/>
    <col min="7943" max="8194" width="9.33203125" style="1318"/>
    <col min="8195" max="8195" width="9.5" style="1318" customWidth="1"/>
    <col min="8196" max="8196" width="91.6640625" style="1318" customWidth="1"/>
    <col min="8197" max="8197" width="21.6640625" style="1318" customWidth="1"/>
    <col min="8198" max="8198" width="9" style="1318" customWidth="1"/>
    <col min="8199" max="8450" width="9.33203125" style="1318"/>
    <col min="8451" max="8451" width="9.5" style="1318" customWidth="1"/>
    <col min="8452" max="8452" width="91.6640625" style="1318" customWidth="1"/>
    <col min="8453" max="8453" width="21.6640625" style="1318" customWidth="1"/>
    <col min="8454" max="8454" width="9" style="1318" customWidth="1"/>
    <col min="8455" max="8706" width="9.33203125" style="1318"/>
    <col min="8707" max="8707" width="9.5" style="1318" customWidth="1"/>
    <col min="8708" max="8708" width="91.6640625" style="1318" customWidth="1"/>
    <col min="8709" max="8709" width="21.6640625" style="1318" customWidth="1"/>
    <col min="8710" max="8710" width="9" style="1318" customWidth="1"/>
    <col min="8711" max="8962" width="9.33203125" style="1318"/>
    <col min="8963" max="8963" width="9.5" style="1318" customWidth="1"/>
    <col min="8964" max="8964" width="91.6640625" style="1318" customWidth="1"/>
    <col min="8965" max="8965" width="21.6640625" style="1318" customWidth="1"/>
    <col min="8966" max="8966" width="9" style="1318" customWidth="1"/>
    <col min="8967" max="9218" width="9.33203125" style="1318"/>
    <col min="9219" max="9219" width="9.5" style="1318" customWidth="1"/>
    <col min="9220" max="9220" width="91.6640625" style="1318" customWidth="1"/>
    <col min="9221" max="9221" width="21.6640625" style="1318" customWidth="1"/>
    <col min="9222" max="9222" width="9" style="1318" customWidth="1"/>
    <col min="9223" max="9474" width="9.33203125" style="1318"/>
    <col min="9475" max="9475" width="9.5" style="1318" customWidth="1"/>
    <col min="9476" max="9476" width="91.6640625" style="1318" customWidth="1"/>
    <col min="9477" max="9477" width="21.6640625" style="1318" customWidth="1"/>
    <col min="9478" max="9478" width="9" style="1318" customWidth="1"/>
    <col min="9479" max="9730" width="9.33203125" style="1318"/>
    <col min="9731" max="9731" width="9.5" style="1318" customWidth="1"/>
    <col min="9732" max="9732" width="91.6640625" style="1318" customWidth="1"/>
    <col min="9733" max="9733" width="21.6640625" style="1318" customWidth="1"/>
    <col min="9734" max="9734" width="9" style="1318" customWidth="1"/>
    <col min="9735" max="9986" width="9.33203125" style="1318"/>
    <col min="9987" max="9987" width="9.5" style="1318" customWidth="1"/>
    <col min="9988" max="9988" width="91.6640625" style="1318" customWidth="1"/>
    <col min="9989" max="9989" width="21.6640625" style="1318" customWidth="1"/>
    <col min="9990" max="9990" width="9" style="1318" customWidth="1"/>
    <col min="9991" max="10242" width="9.33203125" style="1318"/>
    <col min="10243" max="10243" width="9.5" style="1318" customWidth="1"/>
    <col min="10244" max="10244" width="91.6640625" style="1318" customWidth="1"/>
    <col min="10245" max="10245" width="21.6640625" style="1318" customWidth="1"/>
    <col min="10246" max="10246" width="9" style="1318" customWidth="1"/>
    <col min="10247" max="10498" width="9.33203125" style="1318"/>
    <col min="10499" max="10499" width="9.5" style="1318" customWidth="1"/>
    <col min="10500" max="10500" width="91.6640625" style="1318" customWidth="1"/>
    <col min="10501" max="10501" width="21.6640625" style="1318" customWidth="1"/>
    <col min="10502" max="10502" width="9" style="1318" customWidth="1"/>
    <col min="10503" max="10754" width="9.33203125" style="1318"/>
    <col min="10755" max="10755" width="9.5" style="1318" customWidth="1"/>
    <col min="10756" max="10756" width="91.6640625" style="1318" customWidth="1"/>
    <col min="10757" max="10757" width="21.6640625" style="1318" customWidth="1"/>
    <col min="10758" max="10758" width="9" style="1318" customWidth="1"/>
    <col min="10759" max="11010" width="9.33203125" style="1318"/>
    <col min="11011" max="11011" width="9.5" style="1318" customWidth="1"/>
    <col min="11012" max="11012" width="91.6640625" style="1318" customWidth="1"/>
    <col min="11013" max="11013" width="21.6640625" style="1318" customWidth="1"/>
    <col min="11014" max="11014" width="9" style="1318" customWidth="1"/>
    <col min="11015" max="11266" width="9.33203125" style="1318"/>
    <col min="11267" max="11267" width="9.5" style="1318" customWidth="1"/>
    <col min="11268" max="11268" width="91.6640625" style="1318" customWidth="1"/>
    <col min="11269" max="11269" width="21.6640625" style="1318" customWidth="1"/>
    <col min="11270" max="11270" width="9" style="1318" customWidth="1"/>
    <col min="11271" max="11522" width="9.33203125" style="1318"/>
    <col min="11523" max="11523" width="9.5" style="1318" customWidth="1"/>
    <col min="11524" max="11524" width="91.6640625" style="1318" customWidth="1"/>
    <col min="11525" max="11525" width="21.6640625" style="1318" customWidth="1"/>
    <col min="11526" max="11526" width="9" style="1318" customWidth="1"/>
    <col min="11527" max="11778" width="9.33203125" style="1318"/>
    <col min="11779" max="11779" width="9.5" style="1318" customWidth="1"/>
    <col min="11780" max="11780" width="91.6640625" style="1318" customWidth="1"/>
    <col min="11781" max="11781" width="21.6640625" style="1318" customWidth="1"/>
    <col min="11782" max="11782" width="9" style="1318" customWidth="1"/>
    <col min="11783" max="12034" width="9.33203125" style="1318"/>
    <col min="12035" max="12035" width="9.5" style="1318" customWidth="1"/>
    <col min="12036" max="12036" width="91.6640625" style="1318" customWidth="1"/>
    <col min="12037" max="12037" width="21.6640625" style="1318" customWidth="1"/>
    <col min="12038" max="12038" width="9" style="1318" customWidth="1"/>
    <col min="12039" max="12290" width="9.33203125" style="1318"/>
    <col min="12291" max="12291" width="9.5" style="1318" customWidth="1"/>
    <col min="12292" max="12292" width="91.6640625" style="1318" customWidth="1"/>
    <col min="12293" max="12293" width="21.6640625" style="1318" customWidth="1"/>
    <col min="12294" max="12294" width="9" style="1318" customWidth="1"/>
    <col min="12295" max="12546" width="9.33203125" style="1318"/>
    <col min="12547" max="12547" width="9.5" style="1318" customWidth="1"/>
    <col min="12548" max="12548" width="91.6640625" style="1318" customWidth="1"/>
    <col min="12549" max="12549" width="21.6640625" style="1318" customWidth="1"/>
    <col min="12550" max="12550" width="9" style="1318" customWidth="1"/>
    <col min="12551" max="12802" width="9.33203125" style="1318"/>
    <col min="12803" max="12803" width="9.5" style="1318" customWidth="1"/>
    <col min="12804" max="12804" width="91.6640625" style="1318" customWidth="1"/>
    <col min="12805" max="12805" width="21.6640625" style="1318" customWidth="1"/>
    <col min="12806" max="12806" width="9" style="1318" customWidth="1"/>
    <col min="12807" max="13058" width="9.33203125" style="1318"/>
    <col min="13059" max="13059" width="9.5" style="1318" customWidth="1"/>
    <col min="13060" max="13060" width="91.6640625" style="1318" customWidth="1"/>
    <col min="13061" max="13061" width="21.6640625" style="1318" customWidth="1"/>
    <col min="13062" max="13062" width="9" style="1318" customWidth="1"/>
    <col min="13063" max="13314" width="9.33203125" style="1318"/>
    <col min="13315" max="13315" width="9.5" style="1318" customWidth="1"/>
    <col min="13316" max="13316" width="91.6640625" style="1318" customWidth="1"/>
    <col min="13317" max="13317" width="21.6640625" style="1318" customWidth="1"/>
    <col min="13318" max="13318" width="9" style="1318" customWidth="1"/>
    <col min="13319" max="13570" width="9.33203125" style="1318"/>
    <col min="13571" max="13571" width="9.5" style="1318" customWidth="1"/>
    <col min="13572" max="13572" width="91.6640625" style="1318" customWidth="1"/>
    <col min="13573" max="13573" width="21.6640625" style="1318" customWidth="1"/>
    <col min="13574" max="13574" width="9" style="1318" customWidth="1"/>
    <col min="13575" max="13826" width="9.33203125" style="1318"/>
    <col min="13827" max="13827" width="9.5" style="1318" customWidth="1"/>
    <col min="13828" max="13828" width="91.6640625" style="1318" customWidth="1"/>
    <col min="13829" max="13829" width="21.6640625" style="1318" customWidth="1"/>
    <col min="13830" max="13830" width="9" style="1318" customWidth="1"/>
    <col min="13831" max="14082" width="9.33203125" style="1318"/>
    <col min="14083" max="14083" width="9.5" style="1318" customWidth="1"/>
    <col min="14084" max="14084" width="91.6640625" style="1318" customWidth="1"/>
    <col min="14085" max="14085" width="21.6640625" style="1318" customWidth="1"/>
    <col min="14086" max="14086" width="9" style="1318" customWidth="1"/>
    <col min="14087" max="14338" width="9.33203125" style="1318"/>
    <col min="14339" max="14339" width="9.5" style="1318" customWidth="1"/>
    <col min="14340" max="14340" width="91.6640625" style="1318" customWidth="1"/>
    <col min="14341" max="14341" width="21.6640625" style="1318" customWidth="1"/>
    <col min="14342" max="14342" width="9" style="1318" customWidth="1"/>
    <col min="14343" max="14594" width="9.33203125" style="1318"/>
    <col min="14595" max="14595" width="9.5" style="1318" customWidth="1"/>
    <col min="14596" max="14596" width="91.6640625" style="1318" customWidth="1"/>
    <col min="14597" max="14597" width="21.6640625" style="1318" customWidth="1"/>
    <col min="14598" max="14598" width="9" style="1318" customWidth="1"/>
    <col min="14599" max="14850" width="9.33203125" style="1318"/>
    <col min="14851" max="14851" width="9.5" style="1318" customWidth="1"/>
    <col min="14852" max="14852" width="91.6640625" style="1318" customWidth="1"/>
    <col min="14853" max="14853" width="21.6640625" style="1318" customWidth="1"/>
    <col min="14854" max="14854" width="9" style="1318" customWidth="1"/>
    <col min="14855" max="15106" width="9.33203125" style="1318"/>
    <col min="15107" max="15107" width="9.5" style="1318" customWidth="1"/>
    <col min="15108" max="15108" width="91.6640625" style="1318" customWidth="1"/>
    <col min="15109" max="15109" width="21.6640625" style="1318" customWidth="1"/>
    <col min="15110" max="15110" width="9" style="1318" customWidth="1"/>
    <col min="15111" max="15362" width="9.33203125" style="1318"/>
    <col min="15363" max="15363" width="9.5" style="1318" customWidth="1"/>
    <col min="15364" max="15364" width="91.6640625" style="1318" customWidth="1"/>
    <col min="15365" max="15365" width="21.6640625" style="1318" customWidth="1"/>
    <col min="15366" max="15366" width="9" style="1318" customWidth="1"/>
    <col min="15367" max="15618" width="9.33203125" style="1318"/>
    <col min="15619" max="15619" width="9.5" style="1318" customWidth="1"/>
    <col min="15620" max="15620" width="91.6640625" style="1318" customWidth="1"/>
    <col min="15621" max="15621" width="21.6640625" style="1318" customWidth="1"/>
    <col min="15622" max="15622" width="9" style="1318" customWidth="1"/>
    <col min="15623" max="15874" width="9.33203125" style="1318"/>
    <col min="15875" max="15875" width="9.5" style="1318" customWidth="1"/>
    <col min="15876" max="15876" width="91.6640625" style="1318" customWidth="1"/>
    <col min="15877" max="15877" width="21.6640625" style="1318" customWidth="1"/>
    <col min="15878" max="15878" width="9" style="1318" customWidth="1"/>
    <col min="15879" max="16130" width="9.33203125" style="1318"/>
    <col min="16131" max="16131" width="9.5" style="1318" customWidth="1"/>
    <col min="16132" max="16132" width="91.6640625" style="1318" customWidth="1"/>
    <col min="16133" max="16133" width="21.6640625" style="1318" customWidth="1"/>
    <col min="16134" max="16134" width="9" style="1318" customWidth="1"/>
    <col min="16135" max="16384" width="9.33203125" style="1318"/>
  </cols>
  <sheetData>
    <row r="1" spans="1:5" ht="30.75" customHeight="1" x14ac:dyDescent="0.25">
      <c r="A1" s="1511" t="s">
        <v>1638</v>
      </c>
      <c r="B1" s="1511"/>
      <c r="C1" s="1511"/>
      <c r="D1" s="1511"/>
      <c r="E1" s="1511"/>
    </row>
    <row r="2" spans="1:5" ht="15.95" customHeight="1" thickBot="1" x14ac:dyDescent="0.3">
      <c r="A2" s="1510"/>
      <c r="B2" s="1510"/>
      <c r="C2" s="1494"/>
      <c r="D2" s="1494"/>
      <c r="E2" s="1509" t="s">
        <v>1639</v>
      </c>
    </row>
    <row r="3" spans="1:5" ht="38.1" customHeight="1" thickBot="1" x14ac:dyDescent="0.3">
      <c r="A3" s="1403" t="s">
        <v>80</v>
      </c>
      <c r="B3" s="1404" t="s">
        <v>921</v>
      </c>
      <c r="C3" s="1498" t="s">
        <v>1879</v>
      </c>
      <c r="D3" s="1498" t="s">
        <v>1878</v>
      </c>
      <c r="E3" s="1405" t="s">
        <v>1421</v>
      </c>
    </row>
    <row r="4" spans="1:5" s="1323" customFormat="1" ht="12" customHeight="1" thickBot="1" x14ac:dyDescent="0.25">
      <c r="A4" s="1320">
        <v>1</v>
      </c>
      <c r="B4" s="1321">
        <v>2</v>
      </c>
      <c r="C4" s="1499"/>
      <c r="D4" s="1499"/>
      <c r="E4" s="1322">
        <v>3</v>
      </c>
    </row>
    <row r="5" spans="1:5" s="1340" customFormat="1" ht="33" customHeight="1" thickBot="1" x14ac:dyDescent="0.3">
      <c r="A5" s="1337" t="s">
        <v>2</v>
      </c>
      <c r="B5" s="1349" t="s">
        <v>1757</v>
      </c>
      <c r="C5" s="1339">
        <v>1429516</v>
      </c>
      <c r="D5" s="1339">
        <v>1115857</v>
      </c>
      <c r="E5" s="1339">
        <f>SUM('2. sz. mell'!F26)-'4. sz. mell.'!F22-'5. sz. mell. '!F22</f>
        <v>991320</v>
      </c>
    </row>
    <row r="6" spans="1:5" s="1340" customFormat="1" ht="21" hidden="1" customHeight="1" thickBot="1" x14ac:dyDescent="0.3">
      <c r="A6" s="1496"/>
      <c r="B6" s="1338"/>
      <c r="C6" s="1339"/>
      <c r="D6" s="1339"/>
      <c r="E6" s="1497"/>
    </row>
    <row r="7" spans="1:5" s="1340" customFormat="1" ht="18.75" hidden="1" customHeight="1" x14ac:dyDescent="0.25">
      <c r="A7" s="1341" t="s">
        <v>4</v>
      </c>
      <c r="B7" s="1342" t="s">
        <v>1485</v>
      </c>
      <c r="C7" s="1339"/>
      <c r="D7" s="1339"/>
      <c r="E7" s="1343"/>
    </row>
    <row r="8" spans="1:5" s="1340" customFormat="1" ht="18.75" hidden="1" customHeight="1" x14ac:dyDescent="0.25">
      <c r="A8" s="1344" t="s">
        <v>6</v>
      </c>
      <c r="B8" s="1345" t="s">
        <v>1640</v>
      </c>
      <c r="C8" s="1339"/>
      <c r="D8" s="1339"/>
      <c r="E8" s="1346"/>
    </row>
    <row r="9" spans="1:5" s="1340" customFormat="1" ht="18.75" hidden="1" customHeight="1" x14ac:dyDescent="0.25">
      <c r="A9" s="1344" t="s">
        <v>7</v>
      </c>
      <c r="B9" s="1345" t="s">
        <v>1641</v>
      </c>
      <c r="C9" s="1339"/>
      <c r="D9" s="1339"/>
      <c r="E9" s="1346"/>
    </row>
    <row r="10" spans="1:5" s="1340" customFormat="1" ht="18.75" hidden="1" customHeight="1" x14ac:dyDescent="0.25">
      <c r="A10" s="1344" t="s">
        <v>8</v>
      </c>
      <c r="B10" s="1345" t="s">
        <v>1642</v>
      </c>
      <c r="C10" s="1339"/>
      <c r="D10" s="1339"/>
      <c r="E10" s="1346"/>
    </row>
    <row r="11" spans="1:5" s="1340" customFormat="1" ht="18.75" hidden="1" customHeight="1" x14ac:dyDescent="0.25">
      <c r="A11" s="1344" t="s">
        <v>9</v>
      </c>
      <c r="B11" s="1345" t="s">
        <v>1643</v>
      </c>
      <c r="C11" s="1339"/>
      <c r="D11" s="1339"/>
      <c r="E11" s="1346"/>
    </row>
    <row r="12" spans="1:5" s="1340" customFormat="1" ht="18.75" hidden="1" customHeight="1" thickBot="1" x14ac:dyDescent="0.3">
      <c r="A12" s="1347" t="s">
        <v>10</v>
      </c>
      <c r="B12" s="1348" t="s">
        <v>1644</v>
      </c>
      <c r="C12" s="1339"/>
      <c r="D12" s="1339"/>
      <c r="E12" s="1350"/>
    </row>
    <row r="13" spans="1:5" s="1340" customFormat="1" ht="32.25" customHeight="1" thickBot="1" x14ac:dyDescent="0.3">
      <c r="A13" s="1337" t="s">
        <v>3</v>
      </c>
      <c r="B13" s="1338" t="s">
        <v>1758</v>
      </c>
      <c r="C13" s="1339"/>
      <c r="D13" s="1339">
        <v>942</v>
      </c>
      <c r="E13" s="1339">
        <f>SUM('2. sz. mell'!F30)</f>
        <v>0</v>
      </c>
    </row>
    <row r="14" spans="1:5" s="1340" customFormat="1" ht="18.75" hidden="1" customHeight="1" x14ac:dyDescent="0.25">
      <c r="A14" s="1341" t="s">
        <v>13</v>
      </c>
      <c r="B14" s="1342" t="s">
        <v>1645</v>
      </c>
      <c r="C14" s="1339"/>
      <c r="D14" s="1339"/>
      <c r="E14" s="1343"/>
    </row>
    <row r="15" spans="1:5" s="1340" customFormat="1" ht="18.75" hidden="1" customHeight="1" x14ac:dyDescent="0.25">
      <c r="A15" s="1344" t="s">
        <v>15</v>
      </c>
      <c r="B15" s="1345" t="s">
        <v>1646</v>
      </c>
      <c r="C15" s="1339"/>
      <c r="D15" s="1339"/>
      <c r="E15" s="1346"/>
    </row>
    <row r="16" spans="1:5" s="1340" customFormat="1" ht="18.75" hidden="1" customHeight="1" x14ac:dyDescent="0.25">
      <c r="A16" s="1344" t="s">
        <v>17</v>
      </c>
      <c r="B16" s="1345" t="s">
        <v>1647</v>
      </c>
      <c r="C16" s="1339"/>
      <c r="D16" s="1339"/>
      <c r="E16" s="1346"/>
    </row>
    <row r="17" spans="1:5" s="1340" customFormat="1" ht="18.75" hidden="1" customHeight="1" x14ac:dyDescent="0.25">
      <c r="A17" s="1344" t="s">
        <v>19</v>
      </c>
      <c r="B17" s="1345" t="s">
        <v>1648</v>
      </c>
      <c r="C17" s="1339"/>
      <c r="D17" s="1339"/>
      <c r="E17" s="1346"/>
    </row>
    <row r="18" spans="1:5" s="1340" customFormat="1" ht="18.75" hidden="1" customHeight="1" x14ac:dyDescent="0.25">
      <c r="A18" s="1344" t="s">
        <v>21</v>
      </c>
      <c r="B18" s="1345" t="s">
        <v>1649</v>
      </c>
      <c r="C18" s="1339"/>
      <c r="D18" s="1339"/>
      <c r="E18" s="1346"/>
    </row>
    <row r="19" spans="1:5" s="1340" customFormat="1" ht="12.75" hidden="1" customHeight="1" thickBot="1" x14ac:dyDescent="0.3">
      <c r="A19" s="1347" t="s">
        <v>23</v>
      </c>
      <c r="B19" s="1348" t="s">
        <v>1650</v>
      </c>
      <c r="C19" s="1339"/>
      <c r="D19" s="1339"/>
      <c r="E19" s="1350"/>
    </row>
    <row r="20" spans="1:5" s="1340" customFormat="1" ht="21" customHeight="1" thickBot="1" x14ac:dyDescent="0.3">
      <c r="A20" s="1337" t="s">
        <v>12</v>
      </c>
      <c r="B20" s="1338" t="s">
        <v>1759</v>
      </c>
      <c r="C20" s="1339">
        <v>2186520</v>
      </c>
      <c r="D20" s="1339">
        <v>1681447</v>
      </c>
      <c r="E20" s="1351">
        <f>SUM('2. sz. mell'!F8)</f>
        <v>1610000</v>
      </c>
    </row>
    <row r="21" spans="1:5" s="1340" customFormat="1" ht="18.75" hidden="1" customHeight="1" x14ac:dyDescent="0.25">
      <c r="A21" s="1341" t="s">
        <v>133</v>
      </c>
      <c r="B21" s="1342" t="s">
        <v>1651</v>
      </c>
      <c r="C21" s="1339"/>
      <c r="D21" s="1339"/>
      <c r="E21" s="1352">
        <f>+E22+E23</f>
        <v>0</v>
      </c>
    </row>
    <row r="22" spans="1:5" s="1340" customFormat="1" ht="18.75" hidden="1" customHeight="1" x14ac:dyDescent="0.25">
      <c r="A22" s="1344" t="s">
        <v>1652</v>
      </c>
      <c r="B22" s="1345" t="s">
        <v>1653</v>
      </c>
      <c r="C22" s="1339"/>
      <c r="D22" s="1339"/>
      <c r="E22" s="1346"/>
    </row>
    <row r="23" spans="1:5" s="1340" customFormat="1" ht="18.75" hidden="1" customHeight="1" x14ac:dyDescent="0.25">
      <c r="A23" s="1344" t="s">
        <v>1654</v>
      </c>
      <c r="B23" s="1345" t="s">
        <v>1655</v>
      </c>
      <c r="C23" s="1339"/>
      <c r="D23" s="1339"/>
      <c r="E23" s="1346"/>
    </row>
    <row r="24" spans="1:5" s="1340" customFormat="1" ht="18.75" hidden="1" customHeight="1" x14ac:dyDescent="0.25">
      <c r="A24" s="1344" t="s">
        <v>983</v>
      </c>
      <c r="B24" s="1345" t="s">
        <v>1656</v>
      </c>
      <c r="C24" s="1339"/>
      <c r="D24" s="1339"/>
      <c r="E24" s="1346"/>
    </row>
    <row r="25" spans="1:5" s="1340" customFormat="1" ht="18.75" hidden="1" customHeight="1" x14ac:dyDescent="0.25">
      <c r="A25" s="1344" t="s">
        <v>149</v>
      </c>
      <c r="B25" s="1345" t="s">
        <v>1575</v>
      </c>
      <c r="C25" s="1339"/>
      <c r="D25" s="1339"/>
      <c r="E25" s="1346"/>
    </row>
    <row r="26" spans="1:5" s="1340" customFormat="1" ht="18.75" hidden="1" customHeight="1" thickBot="1" x14ac:dyDescent="0.3">
      <c r="A26" s="1347" t="s">
        <v>1657</v>
      </c>
      <c r="B26" s="1348" t="s">
        <v>1578</v>
      </c>
      <c r="C26" s="1339"/>
      <c r="D26" s="1339"/>
      <c r="E26" s="1350"/>
    </row>
    <row r="27" spans="1:5" s="1340" customFormat="1" ht="21" customHeight="1" thickBot="1" x14ac:dyDescent="0.3">
      <c r="A27" s="1337" t="s">
        <v>68</v>
      </c>
      <c r="B27" s="1338" t="s">
        <v>1760</v>
      </c>
      <c r="C27" s="1339">
        <v>619932</v>
      </c>
      <c r="D27" s="1339">
        <v>419244</v>
      </c>
      <c r="E27" s="1339">
        <f>SUM('2. sz. mell'!F16)</f>
        <v>356590</v>
      </c>
    </row>
    <row r="28" spans="1:5" s="1340" customFormat="1" ht="18.75" hidden="1" customHeight="1" x14ac:dyDescent="0.25">
      <c r="A28" s="1341" t="s">
        <v>28</v>
      </c>
      <c r="B28" s="1342" t="s">
        <v>1472</v>
      </c>
      <c r="C28" s="1339"/>
      <c r="D28" s="1339"/>
      <c r="E28" s="1343"/>
    </row>
    <row r="29" spans="1:5" s="1340" customFormat="1" ht="18.75" hidden="1" customHeight="1" x14ac:dyDescent="0.25">
      <c r="A29" s="1344" t="s">
        <v>29</v>
      </c>
      <c r="B29" s="1345" t="s">
        <v>1473</v>
      </c>
      <c r="C29" s="1339"/>
      <c r="D29" s="1339"/>
      <c r="E29" s="1346"/>
    </row>
    <row r="30" spans="1:5" s="1340" customFormat="1" ht="18.75" hidden="1" customHeight="1" x14ac:dyDescent="0.25">
      <c r="A30" s="1344" t="s">
        <v>1658</v>
      </c>
      <c r="B30" s="1345" t="s">
        <v>1659</v>
      </c>
      <c r="C30" s="1339"/>
      <c r="D30" s="1339"/>
      <c r="E30" s="1346"/>
    </row>
    <row r="31" spans="1:5" s="1340" customFormat="1" ht="18.75" hidden="1" customHeight="1" x14ac:dyDescent="0.25">
      <c r="A31" s="1344" t="s">
        <v>1660</v>
      </c>
      <c r="B31" s="1345" t="s">
        <v>1563</v>
      </c>
      <c r="C31" s="1339"/>
      <c r="D31" s="1339"/>
      <c r="E31" s="1346"/>
    </row>
    <row r="32" spans="1:5" s="1340" customFormat="1" ht="18.75" hidden="1" customHeight="1" x14ac:dyDescent="0.25">
      <c r="A32" s="1344" t="s">
        <v>1661</v>
      </c>
      <c r="B32" s="1345" t="s">
        <v>1662</v>
      </c>
      <c r="C32" s="1339"/>
      <c r="D32" s="1339"/>
      <c r="E32" s="1346"/>
    </row>
    <row r="33" spans="1:5" s="1340" customFormat="1" ht="18.75" hidden="1" customHeight="1" x14ac:dyDescent="0.25">
      <c r="A33" s="1344" t="s">
        <v>1663</v>
      </c>
      <c r="B33" s="1345" t="s">
        <v>1664</v>
      </c>
      <c r="C33" s="1339"/>
      <c r="D33" s="1339"/>
      <c r="E33" s="1346"/>
    </row>
    <row r="34" spans="1:5" s="1340" customFormat="1" ht="18.75" hidden="1" customHeight="1" x14ac:dyDescent="0.25">
      <c r="A34" s="1344" t="s">
        <v>1665</v>
      </c>
      <c r="B34" s="1345" t="s">
        <v>1478</v>
      </c>
      <c r="C34" s="1339"/>
      <c r="D34" s="1339"/>
      <c r="E34" s="1346"/>
    </row>
    <row r="35" spans="1:5" s="1340" customFormat="1" ht="18.75" hidden="1" customHeight="1" x14ac:dyDescent="0.25">
      <c r="A35" s="1344" t="s">
        <v>1666</v>
      </c>
      <c r="B35" s="1345" t="s">
        <v>176</v>
      </c>
      <c r="C35" s="1339"/>
      <c r="D35" s="1339"/>
      <c r="E35" s="1346"/>
    </row>
    <row r="36" spans="1:5" s="1340" customFormat="1" ht="18.75" hidden="1" customHeight="1" x14ac:dyDescent="0.25">
      <c r="A36" s="1344" t="s">
        <v>1667</v>
      </c>
      <c r="B36" s="1345" t="s">
        <v>1480</v>
      </c>
      <c r="C36" s="1339"/>
      <c r="D36" s="1339"/>
      <c r="E36" s="1353"/>
    </row>
    <row r="37" spans="1:5" s="1340" customFormat="1" ht="18.75" hidden="1" customHeight="1" thickBot="1" x14ac:dyDescent="0.3">
      <c r="A37" s="1347" t="s">
        <v>992</v>
      </c>
      <c r="B37" s="1348" t="s">
        <v>1629</v>
      </c>
      <c r="C37" s="1339"/>
      <c r="D37" s="1339"/>
      <c r="E37" s="1354"/>
    </row>
    <row r="38" spans="1:5" s="1340" customFormat="1" ht="21" customHeight="1" thickBot="1" x14ac:dyDescent="0.3">
      <c r="A38" s="1337" t="s">
        <v>27</v>
      </c>
      <c r="B38" s="1338" t="s">
        <v>1761</v>
      </c>
      <c r="C38" s="1339">
        <v>50861</v>
      </c>
      <c r="D38" s="1339">
        <v>9150</v>
      </c>
      <c r="E38" s="1339">
        <f>SUM('2. sz. mell'!F29)</f>
        <v>250000</v>
      </c>
    </row>
    <row r="39" spans="1:5" s="1340" customFormat="1" ht="18.75" hidden="1" customHeight="1" x14ac:dyDescent="0.25">
      <c r="A39" s="1341" t="s">
        <v>33</v>
      </c>
      <c r="B39" s="1342" t="s">
        <v>1668</v>
      </c>
      <c r="C39" s="1339"/>
      <c r="D39" s="1339"/>
      <c r="E39" s="1355"/>
    </row>
    <row r="40" spans="1:5" s="1340" customFormat="1" ht="18.75" hidden="1" customHeight="1" x14ac:dyDescent="0.25">
      <c r="A40" s="1344" t="s">
        <v>35</v>
      </c>
      <c r="B40" s="1345" t="s">
        <v>1490</v>
      </c>
      <c r="C40" s="1339"/>
      <c r="D40" s="1339"/>
      <c r="E40" s="1353"/>
    </row>
    <row r="41" spans="1:5" s="1340" customFormat="1" ht="18.75" hidden="1" customHeight="1" x14ac:dyDescent="0.25">
      <c r="A41" s="1344" t="s">
        <v>1211</v>
      </c>
      <c r="B41" s="1345" t="s">
        <v>1491</v>
      </c>
      <c r="C41" s="1339"/>
      <c r="D41" s="1339"/>
      <c r="E41" s="1353"/>
    </row>
    <row r="42" spans="1:5" s="1340" customFormat="1" ht="18.75" hidden="1" customHeight="1" x14ac:dyDescent="0.25">
      <c r="A42" s="1344" t="s">
        <v>1669</v>
      </c>
      <c r="B42" s="1345" t="s">
        <v>1588</v>
      </c>
      <c r="C42" s="1339"/>
      <c r="D42" s="1339"/>
      <c r="E42" s="1353"/>
    </row>
    <row r="43" spans="1:5" s="1340" customFormat="1" ht="18.75" hidden="1" customHeight="1" thickBot="1" x14ac:dyDescent="0.3">
      <c r="A43" s="1347" t="s">
        <v>1670</v>
      </c>
      <c r="B43" s="1348" t="s">
        <v>1671</v>
      </c>
      <c r="C43" s="1339"/>
      <c r="D43" s="1339"/>
      <c r="E43" s="1354"/>
    </row>
    <row r="44" spans="1:5" s="1340" customFormat="1" ht="21" customHeight="1" thickBot="1" x14ac:dyDescent="0.3">
      <c r="A44" s="1337" t="s">
        <v>32</v>
      </c>
      <c r="B44" s="1338" t="s">
        <v>1762</v>
      </c>
      <c r="C44" s="1339">
        <v>2005</v>
      </c>
      <c r="D44" s="1339">
        <v>34548</v>
      </c>
      <c r="E44" s="1369">
        <f>SUM('2. sz. mell'!F27)</f>
        <v>0</v>
      </c>
    </row>
    <row r="45" spans="1:5" s="1340" customFormat="1" ht="18.75" hidden="1" customHeight="1" x14ac:dyDescent="0.25">
      <c r="A45" s="1341" t="s">
        <v>36</v>
      </c>
      <c r="B45" s="1342" t="s">
        <v>1672</v>
      </c>
      <c r="C45" s="1339"/>
      <c r="D45" s="1339"/>
      <c r="E45" s="1343"/>
    </row>
    <row r="46" spans="1:5" s="1340" customFormat="1" ht="18.75" hidden="1" customHeight="1" x14ac:dyDescent="0.25">
      <c r="A46" s="1344" t="s">
        <v>37</v>
      </c>
      <c r="B46" s="1345" t="s">
        <v>1673</v>
      </c>
      <c r="C46" s="1339"/>
      <c r="D46" s="1339"/>
      <c r="E46" s="1346"/>
    </row>
    <row r="47" spans="1:5" s="1340" customFormat="1" ht="18.75" hidden="1" customHeight="1" x14ac:dyDescent="0.25">
      <c r="A47" s="1344" t="s">
        <v>1499</v>
      </c>
      <c r="B47" s="1345" t="s">
        <v>1585</v>
      </c>
      <c r="C47" s="1339"/>
      <c r="D47" s="1339"/>
      <c r="E47" s="1346"/>
    </row>
    <row r="48" spans="1:5" s="1340" customFormat="1" ht="18.75" hidden="1" customHeight="1" thickBot="1" x14ac:dyDescent="0.3">
      <c r="A48" s="1347" t="s">
        <v>1674</v>
      </c>
      <c r="B48" s="1348" t="s">
        <v>1675</v>
      </c>
      <c r="C48" s="1339"/>
      <c r="D48" s="1339"/>
      <c r="E48" s="1350"/>
    </row>
    <row r="49" spans="1:5" s="1340" customFormat="1" ht="21.75" customHeight="1" thickBot="1" x14ac:dyDescent="0.3">
      <c r="A49" s="1337" t="s">
        <v>74</v>
      </c>
      <c r="B49" s="1349" t="s">
        <v>1763</v>
      </c>
      <c r="C49" s="1339">
        <v>394470</v>
      </c>
      <c r="D49" s="1339">
        <v>449435</v>
      </c>
      <c r="E49" s="1339">
        <f>SUM('2. sz. mell'!F31)</f>
        <v>1000</v>
      </c>
    </row>
    <row r="50" spans="1:5" s="1340" customFormat="1" ht="15" hidden="1" customHeight="1" x14ac:dyDescent="0.25">
      <c r="A50" s="1341" t="s">
        <v>39</v>
      </c>
      <c r="B50" s="1342" t="s">
        <v>1676</v>
      </c>
      <c r="C50" s="1339"/>
      <c r="D50" s="1339"/>
      <c r="E50" s="1353"/>
    </row>
    <row r="51" spans="1:5" s="1340" customFormat="1" ht="15" hidden="1" customHeight="1" x14ac:dyDescent="0.25">
      <c r="A51" s="1344" t="s">
        <v>40</v>
      </c>
      <c r="B51" s="1345" t="s">
        <v>1677</v>
      </c>
      <c r="C51" s="1339"/>
      <c r="D51" s="1339"/>
      <c r="E51" s="1353"/>
    </row>
    <row r="52" spans="1:5" s="1340" customFormat="1" ht="15" hidden="1" customHeight="1" x14ac:dyDescent="0.25">
      <c r="A52" s="1344" t="s">
        <v>1678</v>
      </c>
      <c r="B52" s="1345" t="s">
        <v>1593</v>
      </c>
      <c r="C52" s="1339"/>
      <c r="D52" s="1339"/>
      <c r="E52" s="1353"/>
    </row>
    <row r="53" spans="1:5" s="1340" customFormat="1" ht="15" hidden="1" customHeight="1" thickBot="1" x14ac:dyDescent="0.3">
      <c r="A53" s="1347" t="s">
        <v>1679</v>
      </c>
      <c r="B53" s="1348" t="s">
        <v>1680</v>
      </c>
      <c r="C53" s="1339"/>
      <c r="D53" s="1339"/>
      <c r="E53" s="1353"/>
    </row>
    <row r="54" spans="1:5" s="1340" customFormat="1" ht="36" customHeight="1" thickBot="1" x14ac:dyDescent="0.3">
      <c r="A54" s="1337" t="s">
        <v>38</v>
      </c>
      <c r="B54" s="1365" t="s">
        <v>1875</v>
      </c>
      <c r="C54" s="1351">
        <f>C5+C13+C20+C27+C38+C44+C49</f>
        <v>4683304</v>
      </c>
      <c r="D54" s="1351">
        <f>D5+D13+D20+D27+D38+D44+D49</f>
        <v>3710623</v>
      </c>
      <c r="E54" s="1351">
        <f>E5+E13+E20+E27+E38+E44+E49</f>
        <v>3208910</v>
      </c>
    </row>
    <row r="55" spans="1:5" s="1340" customFormat="1" ht="30.75" customHeight="1" thickBot="1" x14ac:dyDescent="0.3">
      <c r="A55" s="1356" t="s">
        <v>88</v>
      </c>
      <c r="B55" s="1349" t="s">
        <v>1764</v>
      </c>
      <c r="C55" s="1339">
        <v>969414</v>
      </c>
      <c r="D55" s="1339">
        <v>198462</v>
      </c>
      <c r="E55" s="1339">
        <f>SUM(E56:E58)</f>
        <v>0</v>
      </c>
    </row>
    <row r="56" spans="1:5" s="1340" customFormat="1" ht="27" hidden="1" customHeight="1" thickBot="1" x14ac:dyDescent="0.3">
      <c r="A56" s="1341" t="s">
        <v>1209</v>
      </c>
      <c r="B56" s="1342" t="s">
        <v>1681</v>
      </c>
      <c r="C56" s="1339"/>
      <c r="D56" s="1339"/>
      <c r="E56" s="1353"/>
    </row>
    <row r="57" spans="1:5" s="1340" customFormat="1" ht="27" hidden="1" customHeight="1" thickBot="1" x14ac:dyDescent="0.3">
      <c r="A57" s="1344" t="s">
        <v>1210</v>
      </c>
      <c r="B57" s="1345" t="s">
        <v>1682</v>
      </c>
      <c r="C57" s="1339"/>
      <c r="D57" s="1339"/>
      <c r="E57" s="1353"/>
    </row>
    <row r="58" spans="1:5" s="1340" customFormat="1" ht="27" hidden="1" customHeight="1" thickBot="1" x14ac:dyDescent="0.3">
      <c r="A58" s="1347" t="s">
        <v>1683</v>
      </c>
      <c r="B58" s="1357" t="s">
        <v>1684</v>
      </c>
      <c r="C58" s="1339"/>
      <c r="D58" s="1339"/>
      <c r="E58" s="1353"/>
    </row>
    <row r="59" spans="1:5" s="1340" customFormat="1" ht="21" customHeight="1" thickBot="1" x14ac:dyDescent="0.3">
      <c r="A59" s="1356" t="s">
        <v>41</v>
      </c>
      <c r="B59" s="1349" t="s">
        <v>1603</v>
      </c>
      <c r="C59" s="1339"/>
      <c r="D59" s="1339"/>
      <c r="E59" s="1339">
        <f>SUM(E60:E63)</f>
        <v>0</v>
      </c>
    </row>
    <row r="60" spans="1:5" s="1340" customFormat="1" ht="33.75" hidden="1" customHeight="1" x14ac:dyDescent="0.25">
      <c r="A60" s="1341" t="s">
        <v>43</v>
      </c>
      <c r="B60" s="1342" t="s">
        <v>1685</v>
      </c>
      <c r="C60" s="1339"/>
      <c r="D60" s="1339"/>
      <c r="E60" s="1353"/>
    </row>
    <row r="61" spans="1:5" s="1340" customFormat="1" ht="33.75" hidden="1" customHeight="1" x14ac:dyDescent="0.25">
      <c r="A61" s="1344" t="s">
        <v>44</v>
      </c>
      <c r="B61" s="1345" t="s">
        <v>1686</v>
      </c>
      <c r="C61" s="1339"/>
      <c r="D61" s="1339"/>
      <c r="E61" s="1353"/>
    </row>
    <row r="62" spans="1:5" s="1340" customFormat="1" ht="33.75" hidden="1" customHeight="1" x14ac:dyDescent="0.25">
      <c r="A62" s="1344" t="s">
        <v>1687</v>
      </c>
      <c r="B62" s="1345" t="s">
        <v>1688</v>
      </c>
      <c r="C62" s="1339"/>
      <c r="D62" s="1339"/>
      <c r="E62" s="1353"/>
    </row>
    <row r="63" spans="1:5" s="1340" customFormat="1" ht="33.75" hidden="1" customHeight="1" thickBot="1" x14ac:dyDescent="0.3">
      <c r="A63" s="1347" t="s">
        <v>1689</v>
      </c>
      <c r="B63" s="1348" t="s">
        <v>1690</v>
      </c>
      <c r="C63" s="1339"/>
      <c r="D63" s="1339"/>
      <c r="E63" s="1353"/>
    </row>
    <row r="64" spans="1:5" s="1340" customFormat="1" ht="21" customHeight="1" thickBot="1" x14ac:dyDescent="0.3">
      <c r="A64" s="1356" t="s">
        <v>42</v>
      </c>
      <c r="B64" s="1349" t="s">
        <v>1606</v>
      </c>
      <c r="C64" s="1339">
        <v>828506</v>
      </c>
      <c r="D64" s="1339">
        <v>649866</v>
      </c>
      <c r="E64" s="1339">
        <f>SUM(E65:E66)</f>
        <v>0</v>
      </c>
    </row>
    <row r="65" spans="1:5" s="1340" customFormat="1" ht="33.75" hidden="1" customHeight="1" x14ac:dyDescent="0.25">
      <c r="A65" s="1341" t="s">
        <v>1691</v>
      </c>
      <c r="B65" s="1342" t="s">
        <v>1692</v>
      </c>
      <c r="C65" s="1339"/>
      <c r="D65" s="1339"/>
      <c r="E65" s="1353"/>
    </row>
    <row r="66" spans="1:5" s="1340" customFormat="1" ht="33.75" hidden="1" customHeight="1" thickBot="1" x14ac:dyDescent="0.3">
      <c r="A66" s="1347" t="s">
        <v>1693</v>
      </c>
      <c r="B66" s="1348" t="s">
        <v>1694</v>
      </c>
      <c r="C66" s="1339"/>
      <c r="D66" s="1339"/>
      <c r="E66" s="1353"/>
    </row>
    <row r="67" spans="1:5" s="1340" customFormat="1" ht="21" customHeight="1" thickBot="1" x14ac:dyDescent="0.3">
      <c r="A67" s="1356" t="s">
        <v>45</v>
      </c>
      <c r="B67" s="1349" t="s">
        <v>1765</v>
      </c>
      <c r="C67" s="1339"/>
      <c r="D67" s="1339"/>
      <c r="E67" s="1339">
        <f>SUM(E68:E70)</f>
        <v>0</v>
      </c>
    </row>
    <row r="68" spans="1:5" s="1340" customFormat="1" ht="33.75" hidden="1" customHeight="1" x14ac:dyDescent="0.25">
      <c r="A68" s="1341" t="s">
        <v>1695</v>
      </c>
      <c r="B68" s="1342" t="s">
        <v>1696</v>
      </c>
      <c r="C68" s="1339"/>
      <c r="D68" s="1501"/>
      <c r="E68" s="1353"/>
    </row>
    <row r="69" spans="1:5" s="1340" customFormat="1" ht="33.75" hidden="1" customHeight="1" x14ac:dyDescent="0.25">
      <c r="A69" s="1344" t="s">
        <v>1697</v>
      </c>
      <c r="B69" s="1345" t="s">
        <v>1698</v>
      </c>
      <c r="C69" s="1339"/>
      <c r="D69" s="1502"/>
      <c r="E69" s="1353"/>
    </row>
    <row r="70" spans="1:5" s="1340" customFormat="1" ht="33.75" hidden="1" customHeight="1" thickBot="1" x14ac:dyDescent="0.3">
      <c r="A70" s="1347" t="s">
        <v>1699</v>
      </c>
      <c r="B70" s="1348" t="s">
        <v>1611</v>
      </c>
      <c r="C70" s="1339"/>
      <c r="D70" s="1503"/>
      <c r="E70" s="1353"/>
    </row>
    <row r="71" spans="1:5" s="1340" customFormat="1" ht="21" customHeight="1" thickBot="1" x14ac:dyDescent="0.3">
      <c r="A71" s="1356" t="s">
        <v>46</v>
      </c>
      <c r="B71" s="1349" t="s">
        <v>1766</v>
      </c>
      <c r="C71" s="1339"/>
      <c r="D71" s="1500"/>
      <c r="E71" s="1339">
        <f>SUM(E72:E75)</f>
        <v>0</v>
      </c>
    </row>
    <row r="72" spans="1:5" s="1340" customFormat="1" ht="33.75" hidden="1" customHeight="1" x14ac:dyDescent="0.25">
      <c r="A72" s="1358" t="s">
        <v>1700</v>
      </c>
      <c r="B72" s="1342" t="s">
        <v>1701</v>
      </c>
      <c r="C72" s="1339"/>
      <c r="D72" s="1501"/>
      <c r="E72" s="1353"/>
    </row>
    <row r="73" spans="1:5" s="1340" customFormat="1" ht="33.75" hidden="1" customHeight="1" x14ac:dyDescent="0.25">
      <c r="A73" s="1359" t="s">
        <v>1702</v>
      </c>
      <c r="B73" s="1345" t="s">
        <v>1703</v>
      </c>
      <c r="C73" s="1339"/>
      <c r="D73" s="1502"/>
      <c r="E73" s="1353"/>
    </row>
    <row r="74" spans="1:5" s="1340" customFormat="1" ht="33.75" hidden="1" customHeight="1" x14ac:dyDescent="0.25">
      <c r="A74" s="1359" t="s">
        <v>1704</v>
      </c>
      <c r="B74" s="1345" t="s">
        <v>1705</v>
      </c>
      <c r="C74" s="1339"/>
      <c r="D74" s="1502"/>
      <c r="E74" s="1353"/>
    </row>
    <row r="75" spans="1:5" s="1340" customFormat="1" ht="33.75" hidden="1" customHeight="1" thickBot="1" x14ac:dyDescent="0.3">
      <c r="A75" s="1360" t="s">
        <v>1706</v>
      </c>
      <c r="B75" s="1348" t="s">
        <v>1707</v>
      </c>
      <c r="C75" s="1339"/>
      <c r="D75" s="1503"/>
      <c r="E75" s="1353"/>
    </row>
    <row r="76" spans="1:5" s="1340" customFormat="1" ht="30" customHeight="1" thickBot="1" x14ac:dyDescent="0.3">
      <c r="A76" s="1356" t="s">
        <v>47</v>
      </c>
      <c r="B76" s="1349" t="s">
        <v>1708</v>
      </c>
      <c r="C76" s="1339"/>
      <c r="D76" s="1500"/>
      <c r="E76" s="1361"/>
    </row>
    <row r="77" spans="1:5" s="1340" customFormat="1" ht="33.75" customHeight="1" thickBot="1" x14ac:dyDescent="0.3">
      <c r="A77" s="1356" t="s">
        <v>91</v>
      </c>
      <c r="B77" s="1362" t="s">
        <v>1876</v>
      </c>
      <c r="C77" s="1351">
        <f>+C55+C59+C64+C67+C71+C76</f>
        <v>1797920</v>
      </c>
      <c r="D77" s="1351">
        <f>+D55+D59+D64+D67+D71+D76</f>
        <v>848328</v>
      </c>
      <c r="E77" s="1506">
        <f>+E55+E59+E64+E67+E71+E76</f>
        <v>0</v>
      </c>
    </row>
    <row r="78" spans="1:5" s="1340" customFormat="1" ht="20.25" customHeight="1" thickBot="1" x14ac:dyDescent="0.3">
      <c r="A78" s="1363"/>
      <c r="B78" s="1364" t="s">
        <v>1880</v>
      </c>
      <c r="C78" s="1351">
        <v>26818</v>
      </c>
      <c r="D78" s="1351"/>
      <c r="E78" s="1506"/>
    </row>
    <row r="79" spans="1:5" s="1340" customFormat="1" ht="20.25" customHeight="1" thickBot="1" x14ac:dyDescent="0.3">
      <c r="A79" s="1363" t="s">
        <v>92</v>
      </c>
      <c r="B79" s="1364" t="s">
        <v>1877</v>
      </c>
      <c r="C79" s="1351">
        <f>+C54+C77+C78</f>
        <v>6508042</v>
      </c>
      <c r="D79" s="1351">
        <f>+D54+D77</f>
        <v>4558951</v>
      </c>
      <c r="E79" s="1351">
        <f>+E54+E77</f>
        <v>3208910</v>
      </c>
    </row>
    <row r="80" spans="1:5" s="1324" customFormat="1" ht="24" customHeight="1" x14ac:dyDescent="0.2">
      <c r="A80" s="1325"/>
      <c r="B80" s="1326"/>
      <c r="C80" s="1326"/>
      <c r="D80" s="1326"/>
      <c r="E80" s="1327"/>
    </row>
    <row r="81" spans="1:5" ht="28.5" customHeight="1" x14ac:dyDescent="0.25">
      <c r="A81" s="1511" t="s">
        <v>48</v>
      </c>
      <c r="B81" s="1511"/>
      <c r="C81" s="1511"/>
      <c r="D81" s="1511"/>
      <c r="E81" s="1511"/>
    </row>
    <row r="82" spans="1:5" s="1329" customFormat="1" ht="16.5" customHeight="1" thickBot="1" x14ac:dyDescent="0.3">
      <c r="A82" s="1512"/>
      <c r="B82" s="1512"/>
      <c r="C82" s="1495"/>
      <c r="D82" s="1495"/>
      <c r="E82" s="1328"/>
    </row>
    <row r="83" spans="1:5" ht="38.1" customHeight="1" thickBot="1" x14ac:dyDescent="0.3">
      <c r="A83" s="1403" t="s">
        <v>80</v>
      </c>
      <c r="B83" s="1404" t="s">
        <v>1709</v>
      </c>
      <c r="C83" s="1498"/>
      <c r="D83" s="1498"/>
      <c r="E83" s="1405" t="s">
        <v>1421</v>
      </c>
    </row>
    <row r="84" spans="1:5" s="1323" customFormat="1" ht="12" customHeight="1" thickBot="1" x14ac:dyDescent="0.25">
      <c r="A84" s="1330">
        <v>1</v>
      </c>
      <c r="B84" s="1331">
        <v>2</v>
      </c>
      <c r="C84" s="1504"/>
      <c r="D84" s="1504"/>
      <c r="E84" s="1332">
        <v>3</v>
      </c>
    </row>
    <row r="85" spans="1:5" s="1335" customFormat="1" ht="21" customHeight="1" thickBot="1" x14ac:dyDescent="0.3">
      <c r="A85" s="1370" t="s">
        <v>2</v>
      </c>
      <c r="B85" s="1371" t="s">
        <v>1767</v>
      </c>
      <c r="C85" s="1372">
        <v>3877876</v>
      </c>
      <c r="D85" s="1372">
        <v>3385126</v>
      </c>
      <c r="E85" s="1372">
        <f>SUM('2. sz. mell'!F41)</f>
        <v>2943339</v>
      </c>
    </row>
    <row r="86" spans="1:5" s="1335" customFormat="1" ht="21" hidden="1" customHeight="1" x14ac:dyDescent="0.25">
      <c r="A86" s="1373" t="s">
        <v>50</v>
      </c>
      <c r="B86" s="1374" t="s">
        <v>51</v>
      </c>
      <c r="C86" s="1372"/>
      <c r="D86" s="1372"/>
      <c r="E86" s="1375"/>
    </row>
    <row r="87" spans="1:5" s="1335" customFormat="1" ht="21" hidden="1" customHeight="1" x14ac:dyDescent="0.25">
      <c r="A87" s="1344" t="s">
        <v>52</v>
      </c>
      <c r="B87" s="1376" t="s">
        <v>53</v>
      </c>
      <c r="C87" s="1372"/>
      <c r="D87" s="1372"/>
      <c r="E87" s="1346"/>
    </row>
    <row r="88" spans="1:5" s="1335" customFormat="1" ht="21" hidden="1" customHeight="1" x14ac:dyDescent="0.25">
      <c r="A88" s="1344" t="s">
        <v>54</v>
      </c>
      <c r="B88" s="1376" t="s">
        <v>55</v>
      </c>
      <c r="C88" s="1372"/>
      <c r="D88" s="1372"/>
      <c r="E88" s="1350"/>
    </row>
    <row r="89" spans="1:5" s="1335" customFormat="1" ht="21" hidden="1" customHeight="1" x14ac:dyDescent="0.25">
      <c r="A89" s="1344" t="s">
        <v>56</v>
      </c>
      <c r="B89" s="1377" t="s">
        <v>57</v>
      </c>
      <c r="C89" s="1372"/>
      <c r="D89" s="1372"/>
      <c r="E89" s="1378"/>
    </row>
    <row r="90" spans="1:5" s="1335" customFormat="1" ht="21" hidden="1" customHeight="1" x14ac:dyDescent="0.25">
      <c r="A90" s="1344" t="s">
        <v>58</v>
      </c>
      <c r="B90" s="1379" t="s">
        <v>59</v>
      </c>
      <c r="C90" s="1372"/>
      <c r="D90" s="1372"/>
      <c r="E90" s="1378"/>
    </row>
    <row r="91" spans="1:5" s="1335" customFormat="1" ht="21" hidden="1" customHeight="1" x14ac:dyDescent="0.25">
      <c r="A91" s="1344" t="s">
        <v>228</v>
      </c>
      <c r="B91" s="1376" t="s">
        <v>1710</v>
      </c>
      <c r="C91" s="1372"/>
      <c r="D91" s="1372"/>
      <c r="E91" s="1378"/>
    </row>
    <row r="92" spans="1:5" s="1335" customFormat="1" ht="21" hidden="1" customHeight="1" x14ac:dyDescent="0.25">
      <c r="A92" s="1344" t="s">
        <v>230</v>
      </c>
      <c r="B92" s="1380" t="s">
        <v>1711</v>
      </c>
      <c r="C92" s="1372"/>
      <c r="D92" s="1372"/>
      <c r="E92" s="1378"/>
    </row>
    <row r="93" spans="1:5" s="1335" customFormat="1" ht="21" hidden="1" customHeight="1" x14ac:dyDescent="0.25">
      <c r="A93" s="1344" t="s">
        <v>232</v>
      </c>
      <c r="B93" s="1381" t="s">
        <v>1712</v>
      </c>
      <c r="C93" s="1372"/>
      <c r="D93" s="1372"/>
      <c r="E93" s="1378"/>
    </row>
    <row r="94" spans="1:5" s="1335" customFormat="1" ht="21" hidden="1" customHeight="1" x14ac:dyDescent="0.25">
      <c r="A94" s="1344" t="s">
        <v>234</v>
      </c>
      <c r="B94" s="1381" t="s">
        <v>1713</v>
      </c>
      <c r="C94" s="1372"/>
      <c r="D94" s="1372"/>
      <c r="E94" s="1378"/>
    </row>
    <row r="95" spans="1:5" s="1335" customFormat="1" ht="21" hidden="1" customHeight="1" x14ac:dyDescent="0.25">
      <c r="A95" s="1344" t="s">
        <v>420</v>
      </c>
      <c r="B95" s="1380" t="s">
        <v>1714</v>
      </c>
      <c r="C95" s="1372"/>
      <c r="D95" s="1372"/>
      <c r="E95" s="1378"/>
    </row>
    <row r="96" spans="1:5" s="1335" customFormat="1" ht="21" hidden="1" customHeight="1" x14ac:dyDescent="0.25">
      <c r="A96" s="1344" t="s">
        <v>1715</v>
      </c>
      <c r="B96" s="1380" t="s">
        <v>1716</v>
      </c>
      <c r="C96" s="1372"/>
      <c r="D96" s="1372"/>
      <c r="E96" s="1378"/>
    </row>
    <row r="97" spans="1:5" s="1335" customFormat="1" ht="21" hidden="1" customHeight="1" x14ac:dyDescent="0.25">
      <c r="A97" s="1344" t="s">
        <v>1717</v>
      </c>
      <c r="B97" s="1381" t="s">
        <v>1718</v>
      </c>
      <c r="C97" s="1372"/>
      <c r="D97" s="1372"/>
      <c r="E97" s="1378"/>
    </row>
    <row r="98" spans="1:5" s="1335" customFormat="1" ht="21" hidden="1" customHeight="1" x14ac:dyDescent="0.25">
      <c r="A98" s="1382" t="s">
        <v>1719</v>
      </c>
      <c r="B98" s="1383" t="s">
        <v>1720</v>
      </c>
      <c r="C98" s="1372"/>
      <c r="D98" s="1372"/>
      <c r="E98" s="1378"/>
    </row>
    <row r="99" spans="1:5" s="1335" customFormat="1" ht="21" hidden="1" customHeight="1" x14ac:dyDescent="0.25">
      <c r="A99" s="1344" t="s">
        <v>1721</v>
      </c>
      <c r="B99" s="1383" t="s">
        <v>1722</v>
      </c>
      <c r="C99" s="1372"/>
      <c r="D99" s="1372"/>
      <c r="E99" s="1378"/>
    </row>
    <row r="100" spans="1:5" s="1335" customFormat="1" ht="21" hidden="1" customHeight="1" thickBot="1" x14ac:dyDescent="0.3">
      <c r="A100" s="1384" t="s">
        <v>1723</v>
      </c>
      <c r="B100" s="1385" t="s">
        <v>1724</v>
      </c>
      <c r="C100" s="1372"/>
      <c r="D100" s="1372"/>
      <c r="E100" s="1386"/>
    </row>
    <row r="101" spans="1:5" s="1335" customFormat="1" ht="21" customHeight="1" thickBot="1" x14ac:dyDescent="0.3">
      <c r="A101" s="1337" t="s">
        <v>3</v>
      </c>
      <c r="B101" s="1387" t="s">
        <v>1768</v>
      </c>
      <c r="C101" s="1372">
        <v>1142021</v>
      </c>
      <c r="D101" s="1372">
        <v>1108977</v>
      </c>
      <c r="E101" s="1339">
        <f>SUM('2. sz. mell'!F56)</f>
        <v>259781</v>
      </c>
    </row>
    <row r="102" spans="1:5" s="1335" customFormat="1" ht="21" hidden="1" customHeight="1" x14ac:dyDescent="0.25">
      <c r="A102" s="1341" t="s">
        <v>4</v>
      </c>
      <c r="B102" s="1376" t="s">
        <v>1173</v>
      </c>
      <c r="C102" s="1372"/>
      <c r="D102" s="1372"/>
      <c r="E102" s="1343"/>
    </row>
    <row r="103" spans="1:5" s="1335" customFormat="1" ht="21" hidden="1" customHeight="1" x14ac:dyDescent="0.25">
      <c r="A103" s="1341" t="s">
        <v>6</v>
      </c>
      <c r="B103" s="1388" t="s">
        <v>1725</v>
      </c>
      <c r="C103" s="1372"/>
      <c r="D103" s="1372"/>
      <c r="E103" s="1343"/>
    </row>
    <row r="104" spans="1:5" s="1335" customFormat="1" ht="21" hidden="1" customHeight="1" x14ac:dyDescent="0.25">
      <c r="A104" s="1341" t="s">
        <v>7</v>
      </c>
      <c r="B104" s="1388" t="s">
        <v>64</v>
      </c>
      <c r="C104" s="1372"/>
      <c r="D104" s="1372"/>
      <c r="E104" s="1346"/>
    </row>
    <row r="105" spans="1:5" s="1335" customFormat="1" ht="21" hidden="1" customHeight="1" x14ac:dyDescent="0.25">
      <c r="A105" s="1341" t="s">
        <v>8</v>
      </c>
      <c r="B105" s="1388" t="s">
        <v>1726</v>
      </c>
      <c r="C105" s="1372"/>
      <c r="D105" s="1372"/>
      <c r="E105" s="1389"/>
    </row>
    <row r="106" spans="1:5" s="1335" customFormat="1" ht="21" hidden="1" customHeight="1" x14ac:dyDescent="0.25">
      <c r="A106" s="1341" t="s">
        <v>9</v>
      </c>
      <c r="B106" s="1390" t="s">
        <v>1174</v>
      </c>
      <c r="C106" s="1372"/>
      <c r="D106" s="1372"/>
      <c r="E106" s="1389"/>
    </row>
    <row r="107" spans="1:5" s="1335" customFormat="1" ht="21" hidden="1" customHeight="1" x14ac:dyDescent="0.25">
      <c r="A107" s="1341" t="s">
        <v>10</v>
      </c>
      <c r="B107" s="1391" t="s">
        <v>1727</v>
      </c>
      <c r="C107" s="1372"/>
      <c r="D107" s="1372"/>
      <c r="E107" s="1389"/>
    </row>
    <row r="108" spans="1:5" s="1335" customFormat="1" ht="21" hidden="1" customHeight="1" x14ac:dyDescent="0.25">
      <c r="A108" s="1341" t="s">
        <v>11</v>
      </c>
      <c r="B108" s="1392" t="s">
        <v>1728</v>
      </c>
      <c r="C108" s="1372"/>
      <c r="D108" s="1372"/>
      <c r="E108" s="1389"/>
    </row>
    <row r="109" spans="1:5" s="1335" customFormat="1" ht="21" hidden="1" customHeight="1" x14ac:dyDescent="0.25">
      <c r="A109" s="1341" t="s">
        <v>266</v>
      </c>
      <c r="B109" s="1381" t="s">
        <v>1713</v>
      </c>
      <c r="C109" s="1372"/>
      <c r="D109" s="1372"/>
      <c r="E109" s="1389"/>
    </row>
    <row r="110" spans="1:5" s="1335" customFormat="1" ht="21" hidden="1" customHeight="1" x14ac:dyDescent="0.25">
      <c r="A110" s="1341" t="s">
        <v>449</v>
      </c>
      <c r="B110" s="1381" t="s">
        <v>1729</v>
      </c>
      <c r="C110" s="1372"/>
      <c r="D110" s="1372"/>
      <c r="E110" s="1389"/>
    </row>
    <row r="111" spans="1:5" s="1335" customFormat="1" ht="21" hidden="1" customHeight="1" x14ac:dyDescent="0.25">
      <c r="A111" s="1341" t="s">
        <v>452</v>
      </c>
      <c r="B111" s="1381" t="s">
        <v>1730</v>
      </c>
      <c r="C111" s="1372"/>
      <c r="D111" s="1372"/>
      <c r="E111" s="1389"/>
    </row>
    <row r="112" spans="1:5" s="1335" customFormat="1" ht="21" hidden="1" customHeight="1" x14ac:dyDescent="0.25">
      <c r="A112" s="1341" t="s">
        <v>1731</v>
      </c>
      <c r="B112" s="1381" t="s">
        <v>1718</v>
      </c>
      <c r="C112" s="1372"/>
      <c r="D112" s="1372"/>
      <c r="E112" s="1389"/>
    </row>
    <row r="113" spans="1:5" s="1335" customFormat="1" ht="21" hidden="1" customHeight="1" x14ac:dyDescent="0.25">
      <c r="A113" s="1341" t="s">
        <v>1732</v>
      </c>
      <c r="B113" s="1381" t="s">
        <v>1733</v>
      </c>
      <c r="C113" s="1372"/>
      <c r="D113" s="1372"/>
      <c r="E113" s="1389"/>
    </row>
    <row r="114" spans="1:5" s="1335" customFormat="1" ht="21" hidden="1" customHeight="1" thickBot="1" x14ac:dyDescent="0.3">
      <c r="A114" s="1382" t="s">
        <v>1734</v>
      </c>
      <c r="B114" s="1381" t="s">
        <v>1735</v>
      </c>
      <c r="C114" s="1372"/>
      <c r="D114" s="1372"/>
      <c r="E114" s="1393"/>
    </row>
    <row r="115" spans="1:5" s="1335" customFormat="1" ht="21" hidden="1" customHeight="1" thickBot="1" x14ac:dyDescent="0.3">
      <c r="A115" s="1337" t="s">
        <v>12</v>
      </c>
      <c r="B115" s="1394" t="s">
        <v>1736</v>
      </c>
      <c r="C115" s="1372"/>
      <c r="D115" s="1372"/>
      <c r="E115" s="1339"/>
    </row>
    <row r="116" spans="1:5" s="1335" customFormat="1" ht="21" hidden="1" customHeight="1" x14ac:dyDescent="0.25">
      <c r="A116" s="1341" t="s">
        <v>13</v>
      </c>
      <c r="B116" s="1395" t="s">
        <v>70</v>
      </c>
      <c r="C116" s="1372"/>
      <c r="D116" s="1372"/>
      <c r="E116" s="1343"/>
    </row>
    <row r="117" spans="1:5" s="1335" customFormat="1" ht="21" hidden="1" customHeight="1" thickBot="1" x14ac:dyDescent="0.3">
      <c r="A117" s="1396" t="s">
        <v>15</v>
      </c>
      <c r="B117" s="1388" t="s">
        <v>1172</v>
      </c>
      <c r="C117" s="1372"/>
      <c r="D117" s="1372"/>
      <c r="E117" s="1378"/>
    </row>
    <row r="118" spans="1:5" s="1335" customFormat="1" ht="33.75" customHeight="1" thickBot="1" x14ac:dyDescent="0.3">
      <c r="A118" s="1337" t="s">
        <v>68</v>
      </c>
      <c r="B118" s="1394" t="s">
        <v>1773</v>
      </c>
      <c r="C118" s="1372">
        <f>+C85+C101+C115</f>
        <v>5019897</v>
      </c>
      <c r="D118" s="1339">
        <f>+D85+D101+D115</f>
        <v>4494103</v>
      </c>
      <c r="E118" s="1339">
        <f>+E85+E101+E115</f>
        <v>3203120</v>
      </c>
    </row>
    <row r="119" spans="1:5" s="1335" customFormat="1" ht="30" customHeight="1" thickBot="1" x14ac:dyDescent="0.3">
      <c r="A119" s="1337" t="s">
        <v>27</v>
      </c>
      <c r="B119" s="1394" t="s">
        <v>1769</v>
      </c>
      <c r="C119" s="1372">
        <v>611598</v>
      </c>
      <c r="D119" s="1372">
        <v>64848</v>
      </c>
      <c r="E119" s="1339">
        <f>SUM('2. sz. mell'!F75)</f>
        <v>5790</v>
      </c>
    </row>
    <row r="120" spans="1:5" s="1335" customFormat="1" ht="21" hidden="1" customHeight="1" x14ac:dyDescent="0.25">
      <c r="A120" s="1341" t="s">
        <v>28</v>
      </c>
      <c r="B120" s="1395" t="s">
        <v>1737</v>
      </c>
      <c r="C120" s="1372"/>
      <c r="D120" s="1372"/>
      <c r="E120" s="1389"/>
    </row>
    <row r="121" spans="1:5" s="1335" customFormat="1" ht="21" hidden="1" customHeight="1" x14ac:dyDescent="0.25">
      <c r="A121" s="1341" t="s">
        <v>29</v>
      </c>
      <c r="B121" s="1395" t="s">
        <v>1738</v>
      </c>
      <c r="C121" s="1372"/>
      <c r="D121" s="1372"/>
      <c r="E121" s="1389"/>
    </row>
    <row r="122" spans="1:5" s="1335" customFormat="1" ht="21" hidden="1" customHeight="1" thickBot="1" x14ac:dyDescent="0.3">
      <c r="A122" s="1382" t="s">
        <v>1658</v>
      </c>
      <c r="B122" s="1397" t="s">
        <v>1739</v>
      </c>
      <c r="C122" s="1372"/>
      <c r="D122" s="1372"/>
      <c r="E122" s="1389"/>
    </row>
    <row r="123" spans="1:5" s="1335" customFormat="1" ht="21" customHeight="1" thickBot="1" x14ac:dyDescent="0.3">
      <c r="A123" s="1337" t="s">
        <v>32</v>
      </c>
      <c r="B123" s="1394" t="s">
        <v>1770</v>
      </c>
      <c r="C123" s="1372"/>
      <c r="D123" s="1372"/>
      <c r="E123" s="1339">
        <f>+E124+E125+E126+E127</f>
        <v>0</v>
      </c>
    </row>
    <row r="124" spans="1:5" s="1335" customFormat="1" ht="21" hidden="1" customHeight="1" x14ac:dyDescent="0.25">
      <c r="A124" s="1341" t="s">
        <v>33</v>
      </c>
      <c r="B124" s="1395" t="s">
        <v>1740</v>
      </c>
      <c r="C124" s="1372"/>
      <c r="D124" s="1372"/>
      <c r="E124" s="1389"/>
    </row>
    <row r="125" spans="1:5" s="1335" customFormat="1" ht="21" hidden="1" customHeight="1" x14ac:dyDescent="0.25">
      <c r="A125" s="1341" t="s">
        <v>35</v>
      </c>
      <c r="B125" s="1395" t="s">
        <v>1741</v>
      </c>
      <c r="C125" s="1372"/>
      <c r="D125" s="1372"/>
      <c r="E125" s="1389"/>
    </row>
    <row r="126" spans="1:5" s="1335" customFormat="1" ht="21" hidden="1" customHeight="1" x14ac:dyDescent="0.25">
      <c r="A126" s="1341" t="s">
        <v>1211</v>
      </c>
      <c r="B126" s="1395" t="s">
        <v>1742</v>
      </c>
      <c r="C126" s="1372"/>
      <c r="D126" s="1372"/>
      <c r="E126" s="1389"/>
    </row>
    <row r="127" spans="1:5" s="1335" customFormat="1" ht="21" hidden="1" customHeight="1" thickBot="1" x14ac:dyDescent="0.3">
      <c r="A127" s="1382" t="s">
        <v>1669</v>
      </c>
      <c r="B127" s="1397" t="s">
        <v>1743</v>
      </c>
      <c r="C127" s="1372"/>
      <c r="D127" s="1372"/>
      <c r="E127" s="1389"/>
    </row>
    <row r="128" spans="1:5" s="1335" customFormat="1" ht="21" customHeight="1" thickBot="1" x14ac:dyDescent="0.3">
      <c r="A128" s="1337" t="s">
        <v>74</v>
      </c>
      <c r="B128" s="1394" t="s">
        <v>1771</v>
      </c>
      <c r="C128" s="1372"/>
      <c r="D128" s="1372"/>
      <c r="E128" s="1351">
        <f>+E129+E130+E131+E132</f>
        <v>0</v>
      </c>
    </row>
    <row r="129" spans="1:11" s="1335" customFormat="1" ht="21" hidden="1" customHeight="1" x14ac:dyDescent="0.25">
      <c r="A129" s="1341" t="s">
        <v>36</v>
      </c>
      <c r="B129" s="1395" t="s">
        <v>1744</v>
      </c>
      <c r="C129" s="1372"/>
      <c r="D129" s="1372"/>
      <c r="E129" s="1389"/>
    </row>
    <row r="130" spans="1:11" s="1335" customFormat="1" ht="21" hidden="1" customHeight="1" x14ac:dyDescent="0.25">
      <c r="A130" s="1341" t="s">
        <v>37</v>
      </c>
      <c r="B130" s="1395" t="s">
        <v>1745</v>
      </c>
      <c r="C130" s="1372"/>
      <c r="D130" s="1372"/>
      <c r="E130" s="1389"/>
    </row>
    <row r="131" spans="1:11" s="1335" customFormat="1" ht="21" hidden="1" customHeight="1" x14ac:dyDescent="0.25">
      <c r="A131" s="1341" t="s">
        <v>1499</v>
      </c>
      <c r="B131" s="1395" t="s">
        <v>1746</v>
      </c>
      <c r="C131" s="1372"/>
      <c r="D131" s="1372"/>
      <c r="E131" s="1389"/>
    </row>
    <row r="132" spans="1:11" s="1335" customFormat="1" ht="21" hidden="1" customHeight="1" thickBot="1" x14ac:dyDescent="0.3">
      <c r="A132" s="1382" t="s">
        <v>1674</v>
      </c>
      <c r="B132" s="1397" t="s">
        <v>1747</v>
      </c>
      <c r="C132" s="1372"/>
      <c r="D132" s="1372"/>
      <c r="E132" s="1389"/>
    </row>
    <row r="133" spans="1:11" s="1335" customFormat="1" ht="21" customHeight="1" thickBot="1" x14ac:dyDescent="0.3">
      <c r="A133" s="1337" t="s">
        <v>38</v>
      </c>
      <c r="B133" s="1394" t="s">
        <v>1772</v>
      </c>
      <c r="C133" s="1372"/>
      <c r="D133" s="1372"/>
      <c r="E133" s="1398">
        <f>+E134+E135+E136+E137</f>
        <v>0</v>
      </c>
    </row>
    <row r="134" spans="1:11" s="1335" customFormat="1" ht="21" hidden="1" customHeight="1" x14ac:dyDescent="0.25">
      <c r="A134" s="1341" t="s">
        <v>39</v>
      </c>
      <c r="B134" s="1395" t="s">
        <v>1748</v>
      </c>
      <c r="C134" s="1372"/>
      <c r="D134" s="1372"/>
      <c r="E134" s="1389"/>
    </row>
    <row r="135" spans="1:11" s="1335" customFormat="1" ht="21" hidden="1" customHeight="1" x14ac:dyDescent="0.25">
      <c r="A135" s="1341" t="s">
        <v>40</v>
      </c>
      <c r="B135" s="1395" t="s">
        <v>1749</v>
      </c>
      <c r="C135" s="1372"/>
      <c r="D135" s="1372"/>
      <c r="E135" s="1389"/>
    </row>
    <row r="136" spans="1:11" s="1335" customFormat="1" ht="21" hidden="1" customHeight="1" x14ac:dyDescent="0.25">
      <c r="A136" s="1341" t="s">
        <v>1678</v>
      </c>
      <c r="B136" s="1395" t="s">
        <v>1750</v>
      </c>
      <c r="C136" s="1372"/>
      <c r="D136" s="1372"/>
      <c r="E136" s="1389"/>
    </row>
    <row r="137" spans="1:11" s="1335" customFormat="1" ht="21" hidden="1" customHeight="1" thickBot="1" x14ac:dyDescent="0.3">
      <c r="A137" s="1341" t="s">
        <v>1679</v>
      </c>
      <c r="B137" s="1395" t="s">
        <v>1751</v>
      </c>
      <c r="C137" s="1372"/>
      <c r="D137" s="1372"/>
      <c r="E137" s="1389"/>
    </row>
    <row r="138" spans="1:11" s="1335" customFormat="1" ht="32.25" customHeight="1" thickBot="1" x14ac:dyDescent="0.3">
      <c r="A138" s="1337" t="s">
        <v>88</v>
      </c>
      <c r="B138" s="1394" t="s">
        <v>1752</v>
      </c>
      <c r="C138" s="1372">
        <f>+C119+C123+C128+C133</f>
        <v>611598</v>
      </c>
      <c r="D138" s="1399">
        <f>+D119+D123+D128+D133</f>
        <v>64848</v>
      </c>
      <c r="E138" s="1399">
        <f>+E119+E123+E128+E133</f>
        <v>5790</v>
      </c>
      <c r="H138" s="1333"/>
      <c r="I138" s="1334"/>
      <c r="J138" s="1334"/>
      <c r="K138" s="1334"/>
    </row>
    <row r="139" spans="1:11" s="1335" customFormat="1" ht="21" customHeight="1" thickBot="1" x14ac:dyDescent="0.3">
      <c r="A139" s="1507"/>
      <c r="B139" s="1364" t="s">
        <v>1881</v>
      </c>
      <c r="C139" s="1372">
        <v>-19144</v>
      </c>
      <c r="D139" s="1399"/>
      <c r="E139" s="1399"/>
      <c r="H139" s="1333"/>
      <c r="I139" s="1334"/>
      <c r="J139" s="1334"/>
      <c r="K139" s="1334"/>
    </row>
    <row r="140" spans="1:11" s="1340" customFormat="1" ht="21" customHeight="1" thickBot="1" x14ac:dyDescent="0.3">
      <c r="A140" s="1400" t="s">
        <v>41</v>
      </c>
      <c r="B140" s="1401" t="s">
        <v>1753</v>
      </c>
      <c r="C140" s="1399">
        <f>+C118+C138+C139</f>
        <v>5612351</v>
      </c>
      <c r="D140" s="1399">
        <f>+D118+D138</f>
        <v>4558951</v>
      </c>
      <c r="E140" s="1399">
        <f>+E118+E138</f>
        <v>3208910</v>
      </c>
    </row>
    <row r="141" spans="1:11" ht="7.5" customHeight="1" x14ac:dyDescent="0.25"/>
    <row r="142" spans="1:11" ht="45.75" customHeight="1" x14ac:dyDescent="0.25">
      <c r="A142" s="1513" t="s">
        <v>1754</v>
      </c>
      <c r="B142" s="1513"/>
      <c r="C142" s="1513"/>
      <c r="D142" s="1513"/>
      <c r="E142" s="1513"/>
    </row>
    <row r="143" spans="1:11" ht="15" customHeight="1" thickBot="1" x14ac:dyDescent="0.3">
      <c r="A143" s="1510"/>
      <c r="B143" s="1510"/>
      <c r="C143" s="1494"/>
      <c r="D143" s="1494"/>
      <c r="E143" s="1319"/>
    </row>
    <row r="144" spans="1:11" s="1340" customFormat="1" ht="48.75" customHeight="1" thickBot="1" x14ac:dyDescent="0.3">
      <c r="A144" s="1337">
        <v>1</v>
      </c>
      <c r="B144" s="1387" t="s">
        <v>1755</v>
      </c>
      <c r="C144" s="1339">
        <f t="shared" ref="C144:D144" si="0">+C54-C118</f>
        <v>-336593</v>
      </c>
      <c r="D144" s="1339">
        <f t="shared" si="0"/>
        <v>-783480</v>
      </c>
      <c r="E144" s="1339">
        <f>+E54-E118</f>
        <v>5790</v>
      </c>
      <c r="F144" s="1402"/>
    </row>
    <row r="145" spans="1:5" s="1340" customFormat="1" ht="51.75" customHeight="1" thickBot="1" x14ac:dyDescent="0.3">
      <c r="A145" s="1337" t="s">
        <v>3</v>
      </c>
      <c r="B145" s="1387" t="s">
        <v>1756</v>
      </c>
      <c r="C145" s="1505"/>
      <c r="D145" s="1339">
        <f>+D77-D138</f>
        <v>783480</v>
      </c>
      <c r="E145" s="1339">
        <f>+E77-E138</f>
        <v>-5790</v>
      </c>
    </row>
  </sheetData>
  <sheetProtection selectLockedCells="1" selectUnlockedCells="1"/>
  <dataConsolidate/>
  <mergeCells count="6">
    <mergeCell ref="A143:B143"/>
    <mergeCell ref="A1:E1"/>
    <mergeCell ref="A2:B2"/>
    <mergeCell ref="A81:E81"/>
    <mergeCell ref="A82:B82"/>
    <mergeCell ref="A142:E142"/>
  </mergeCells>
  <printOptions horizontalCentered="1"/>
  <pageMargins left="0.31496062992125984" right="0.23622047244094491" top="1.1811023622047245" bottom="0.86614173228346458" header="0.27559055118110237" footer="0.59055118110236227"/>
  <pageSetup paperSize="9" firstPageNumber="12" fitToHeight="2" orientation="portrait" useFirstPageNumber="1" r:id="rId1"/>
  <headerFooter alignWithMargins="0">
    <oddHeader xml:space="preserve">&amp;C&amp;"Times New Roman CE,Félkövér"&amp;12
VECSÉS VÁROS ÖNKORMÁNYZATÁNAK 
2014. ÉVI KÖLTSÉGVETÉSÉNEK ÖSSZEVONT MÉRLEGE&amp;10
&amp;R&amp;12 1. sz. melléklet </oddHeader>
  </headerFooter>
  <rowBreaks count="1" manualBreakCount="1">
    <brk id="8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3"/>
  <sheetViews>
    <sheetView view="pageBreakPreview" topLeftCell="A2" zoomScaleNormal="130" zoomScaleSheetLayoutView="100" workbookViewId="0">
      <selection activeCell="F16" sqref="F16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6384" width="9.33203125" style="76"/>
  </cols>
  <sheetData>
    <row r="1" spans="1:10" s="79" customFormat="1" ht="33.75" customHeight="1" thickBot="1" x14ac:dyDescent="0.25">
      <c r="A1" s="1521" t="s">
        <v>120</v>
      </c>
      <c r="B1" s="1522"/>
      <c r="C1" s="1254" t="s">
        <v>138</v>
      </c>
      <c r="D1" s="1523" t="s">
        <v>1024</v>
      </c>
      <c r="E1" s="343"/>
      <c r="F1" s="1523" t="s">
        <v>1420</v>
      </c>
      <c r="G1" s="1254"/>
    </row>
    <row r="2" spans="1:10" s="79" customFormat="1" ht="33.75" customHeight="1" thickBot="1" x14ac:dyDescent="0.25">
      <c r="A2" s="1525" t="s">
        <v>122</v>
      </c>
      <c r="B2" s="1526"/>
      <c r="C2" s="80" t="s">
        <v>1541</v>
      </c>
      <c r="D2" s="1524"/>
      <c r="E2" s="327"/>
      <c r="F2" s="1524"/>
      <c r="G2" s="137"/>
    </row>
    <row r="3" spans="1:10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0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0" s="89" customFormat="1" ht="15" customHeight="1" thickBot="1" x14ac:dyDescent="0.25">
      <c r="A5" s="1255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0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0" s="89" customFormat="1" ht="31.5" customHeight="1" thickBot="1" x14ac:dyDescent="0.25">
      <c r="A7" s="1256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269929</v>
      </c>
      <c r="G7" s="141">
        <f>F7/E7*100</f>
        <v>14.668778801843319</v>
      </c>
      <c r="I7" s="1135"/>
      <c r="J7" s="1135"/>
    </row>
    <row r="8" spans="1:10" s="96" customFormat="1" ht="19.5" customHeight="1" thickBot="1" x14ac:dyDescent="0.25">
      <c r="A8" s="1256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v>192560</v>
      </c>
      <c r="G8" s="141">
        <f t="shared" ref="G8:G41" si="2">F8/E8*100</f>
        <v>11.425614832887923</v>
      </c>
      <c r="I8" s="1135"/>
      <c r="J8" s="1135"/>
    </row>
    <row r="9" spans="1:10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2"/>
        <v>0</v>
      </c>
      <c r="I9" s="1135"/>
      <c r="J9" s="1135"/>
    </row>
    <row r="10" spans="1:10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/>
      <c r="J10" s="1135"/>
    </row>
    <row r="11" spans="1:10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/>
      <c r="G11" s="142">
        <f t="shared" si="2"/>
        <v>0</v>
      </c>
      <c r="I11" s="1135"/>
      <c r="J11" s="1135"/>
    </row>
    <row r="12" spans="1:10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/>
      <c r="G12" s="142">
        <f t="shared" si="2"/>
        <v>0</v>
      </c>
      <c r="I12" s="1135"/>
      <c r="J12" s="1135"/>
    </row>
    <row r="13" spans="1:10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/>
      <c r="J13" s="1135"/>
    </row>
    <row r="14" spans="1:10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/>
      <c r="J14" s="1135"/>
    </row>
    <row r="15" spans="1:10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/>
      <c r="J15" s="1135"/>
    </row>
    <row r="16" spans="1:10" s="96" customFormat="1" ht="18.75" customHeight="1" thickBot="1" x14ac:dyDescent="0.25">
      <c r="A16" s="1256" t="s">
        <v>12</v>
      </c>
      <c r="B16" s="94"/>
      <c r="C16" s="368" t="s">
        <v>1615</v>
      </c>
      <c r="D16" s="141">
        <f>SUM(D17:D24)</f>
        <v>77679</v>
      </c>
      <c r="E16" s="141">
        <f t="shared" ref="E16" si="3">SUM(E17:E24)</f>
        <v>154824</v>
      </c>
      <c r="F16" s="141">
        <v>69120</v>
      </c>
      <c r="G16" s="141">
        <f t="shared" si="2"/>
        <v>44.644241202914273</v>
      </c>
      <c r="I16" s="1135"/>
      <c r="J16" s="1135"/>
    </row>
    <row r="17" spans="1:10" s="96" customFormat="1" ht="15" hidden="1" customHeight="1" x14ac:dyDescent="0.2">
      <c r="A17" s="1257"/>
      <c r="B17" s="98"/>
      <c r="C17" s="375"/>
      <c r="D17" s="144"/>
      <c r="E17" s="144"/>
      <c r="F17" s="144"/>
      <c r="G17" s="144"/>
      <c r="I17" s="1135"/>
      <c r="J17" s="1135"/>
    </row>
    <row r="18" spans="1:10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2"/>
      <c r="G18" s="142">
        <f t="shared" si="2"/>
        <v>0</v>
      </c>
      <c r="I18" s="1135"/>
      <c r="J18" s="1135"/>
    </row>
    <row r="19" spans="1:10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2"/>
      <c r="G19" s="142">
        <f t="shared" si="2"/>
        <v>0</v>
      </c>
      <c r="I19" s="1135"/>
      <c r="J19" s="1135"/>
    </row>
    <row r="20" spans="1:10" s="96" customFormat="1" ht="15" hidden="1" customHeight="1" x14ac:dyDescent="0.2">
      <c r="A20" s="97"/>
      <c r="B20" s="98"/>
      <c r="C20" s="375"/>
      <c r="D20" s="142"/>
      <c r="E20" s="142"/>
      <c r="F20" s="142"/>
      <c r="G20" s="142"/>
      <c r="I20" s="1135"/>
      <c r="J20" s="1135"/>
    </row>
    <row r="21" spans="1:10" s="96" customFormat="1" ht="15" hidden="1" customHeight="1" x14ac:dyDescent="0.2">
      <c r="A21" s="97"/>
      <c r="B21" s="98"/>
      <c r="C21" s="375"/>
      <c r="D21" s="142"/>
      <c r="E21" s="142"/>
      <c r="F21" s="142"/>
      <c r="G21" s="142"/>
      <c r="I21" s="1135"/>
      <c r="J21" s="1135"/>
    </row>
    <row r="22" spans="1:10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3"/>
      <c r="G22" s="143">
        <f t="shared" si="2"/>
        <v>0</v>
      </c>
      <c r="I22" s="1135"/>
      <c r="J22" s="1135"/>
    </row>
    <row r="23" spans="1:10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2"/>
      <c r="G23" s="142">
        <f t="shared" si="2"/>
        <v>0</v>
      </c>
      <c r="I23" s="1135"/>
      <c r="J23" s="1135"/>
    </row>
    <row r="24" spans="1:10" s="99" customFormat="1" ht="15" hidden="1" customHeight="1" thickBot="1" x14ac:dyDescent="0.25">
      <c r="A24" s="104"/>
      <c r="B24" s="105"/>
      <c r="C24" s="375"/>
      <c r="D24" s="145"/>
      <c r="E24" s="145"/>
      <c r="F24" s="145"/>
      <c r="G24" s="145"/>
      <c r="I24" s="1135"/>
      <c r="J24" s="1135"/>
    </row>
    <row r="25" spans="1:10" s="99" customFormat="1" ht="15" hidden="1" customHeight="1" x14ac:dyDescent="0.2">
      <c r="A25" s="1256"/>
      <c r="B25" s="106"/>
      <c r="C25" s="368"/>
      <c r="D25" s="119"/>
      <c r="E25" s="119"/>
      <c r="F25" s="119"/>
      <c r="G25" s="141" t="e">
        <f t="shared" si="2"/>
        <v>#DIV/0!</v>
      </c>
      <c r="I25" s="1135"/>
      <c r="J25" s="1135"/>
    </row>
    <row r="26" spans="1:10" s="96" customFormat="1" ht="21" customHeight="1" thickBot="1" x14ac:dyDescent="0.25">
      <c r="A26" s="1256" t="s">
        <v>68</v>
      </c>
      <c r="B26" s="94"/>
      <c r="C26" s="368" t="s">
        <v>1614</v>
      </c>
      <c r="D26" s="141">
        <f>SUM(D27:D32)</f>
        <v>0</v>
      </c>
      <c r="E26" s="141">
        <f>SUM(E27:E32)</f>
        <v>0</v>
      </c>
      <c r="F26" s="141">
        <v>8249</v>
      </c>
      <c r="G26" s="141" t="e">
        <f t="shared" si="2"/>
        <v>#DIV/0!</v>
      </c>
      <c r="I26" s="1135"/>
      <c r="J26" s="1135"/>
    </row>
    <row r="27" spans="1:10" s="99" customFormat="1" ht="30.75" customHeight="1" thickBot="1" x14ac:dyDescent="0.25">
      <c r="A27" s="1256" t="s">
        <v>27</v>
      </c>
      <c r="B27" s="98"/>
      <c r="C27" s="1291" t="s">
        <v>1617</v>
      </c>
      <c r="D27" s="142"/>
      <c r="E27" s="142"/>
      <c r="F27" s="1293">
        <f>SUM(F28:F30)</f>
        <v>251000</v>
      </c>
      <c r="G27" s="142" t="e">
        <f t="shared" si="2"/>
        <v>#DIV/0!</v>
      </c>
      <c r="I27" s="1135"/>
      <c r="J27" s="1135"/>
    </row>
    <row r="28" spans="1:10" s="99" customFormat="1" ht="18.75" customHeight="1" thickBot="1" x14ac:dyDescent="0.25">
      <c r="A28" s="1256" t="s">
        <v>32</v>
      </c>
      <c r="B28" s="98"/>
      <c r="C28" s="368" t="s">
        <v>1587</v>
      </c>
      <c r="D28" s="142"/>
      <c r="E28" s="142"/>
      <c r="F28" s="141">
        <v>250000</v>
      </c>
      <c r="G28" s="142" t="e">
        <f t="shared" si="2"/>
        <v>#DIV/0!</v>
      </c>
      <c r="I28" s="1135"/>
      <c r="J28" s="1135"/>
    </row>
    <row r="29" spans="1:10" s="99" customFormat="1" ht="18.75" customHeight="1" thickBot="1" x14ac:dyDescent="0.25">
      <c r="A29" s="1256" t="s">
        <v>74</v>
      </c>
      <c r="B29" s="98"/>
      <c r="C29" s="368" t="s">
        <v>1618</v>
      </c>
      <c r="D29" s="142"/>
      <c r="E29" s="142"/>
      <c r="F29" s="141"/>
      <c r="G29" s="142" t="e">
        <f t="shared" si="2"/>
        <v>#DIV/0!</v>
      </c>
      <c r="I29" s="1135"/>
      <c r="J29" s="1135"/>
    </row>
    <row r="30" spans="1:10" s="99" customFormat="1" ht="18.75" customHeight="1" thickBot="1" x14ac:dyDescent="0.25">
      <c r="A30" s="1256" t="s">
        <v>38</v>
      </c>
      <c r="B30" s="98"/>
      <c r="C30" s="368" t="s">
        <v>1171</v>
      </c>
      <c r="D30" s="142"/>
      <c r="E30" s="142"/>
      <c r="F30" s="141">
        <v>1000</v>
      </c>
      <c r="G30" s="142"/>
      <c r="I30" s="1135"/>
      <c r="J30" s="1135"/>
    </row>
    <row r="31" spans="1:10" s="99" customFormat="1" ht="21.75" customHeight="1" thickBot="1" x14ac:dyDescent="0.25">
      <c r="A31" s="97"/>
      <c r="B31" s="98"/>
      <c r="C31" s="1291" t="s">
        <v>1619</v>
      </c>
      <c r="D31" s="142"/>
      <c r="E31" s="142"/>
      <c r="F31" s="142">
        <f>SUM(F32)</f>
        <v>0</v>
      </c>
      <c r="G31" s="142"/>
      <c r="I31" s="1135"/>
      <c r="J31" s="1135"/>
    </row>
    <row r="32" spans="1:10" s="99" customFormat="1" ht="16.5" customHeight="1" thickBot="1" x14ac:dyDescent="0.25">
      <c r="A32" s="97"/>
      <c r="B32" s="98"/>
      <c r="C32" s="368" t="s">
        <v>1595</v>
      </c>
      <c r="D32" s="142"/>
      <c r="E32" s="142"/>
      <c r="F32" s="142">
        <f>SUM('3.1.asz.melléklet'!G151)</f>
        <v>0</v>
      </c>
      <c r="G32" s="142"/>
      <c r="I32" s="1135"/>
      <c r="J32" s="1135"/>
    </row>
    <row r="33" spans="1:10" s="99" customFormat="1" ht="21" customHeight="1" thickBot="1" x14ac:dyDescent="0.25">
      <c r="A33" s="150" t="s">
        <v>45</v>
      </c>
      <c r="B33" s="151"/>
      <c r="C33" s="9" t="s">
        <v>1213</v>
      </c>
      <c r="D33" s="152" t="e">
        <f>+#REF!+#REF!+#REF!</f>
        <v>#REF!</v>
      </c>
      <c r="E33" s="152" t="e">
        <f>+#REF!+#REF!+#REF!</f>
        <v>#REF!</v>
      </c>
      <c r="F33" s="152">
        <f>SUM(F7+F27+F31)</f>
        <v>520929</v>
      </c>
      <c r="G33" s="152" t="e">
        <f t="shared" si="2"/>
        <v>#REF!</v>
      </c>
      <c r="I33" s="1135"/>
      <c r="J33" s="1135">
        <f>SUM(F72-F33)</f>
        <v>0</v>
      </c>
    </row>
    <row r="34" spans="1:10" s="99" customFormat="1" ht="15" customHeight="1" thickBot="1" x14ac:dyDescent="0.25">
      <c r="A34" s="153"/>
      <c r="B34" s="153"/>
      <c r="C34" s="154"/>
      <c r="D34" s="155"/>
      <c r="E34" s="155"/>
      <c r="F34" s="155"/>
      <c r="G34" s="155"/>
      <c r="I34" s="1135"/>
      <c r="J34" s="1135"/>
    </row>
    <row r="35" spans="1:10" s="89" customFormat="1" ht="20.25" customHeight="1" thickBot="1" x14ac:dyDescent="0.25">
      <c r="A35" s="156"/>
      <c r="B35" s="157"/>
      <c r="C35" s="121" t="s">
        <v>82</v>
      </c>
      <c r="D35" s="122"/>
      <c r="E35" s="122"/>
      <c r="F35" s="122"/>
      <c r="G35" s="122"/>
      <c r="I35" s="1135"/>
      <c r="J35" s="1135"/>
    </row>
    <row r="36" spans="1:10" s="125" customFormat="1" ht="15" customHeight="1" thickBot="1" x14ac:dyDescent="0.25">
      <c r="A36" s="1256" t="s">
        <v>2</v>
      </c>
      <c r="B36" s="2"/>
      <c r="C36" s="10" t="s">
        <v>1620</v>
      </c>
      <c r="D36" s="141">
        <f>SUM(D37:D41)+D50</f>
        <v>873535</v>
      </c>
      <c r="E36" s="141">
        <f t="shared" ref="E36" si="4">SUM(E37:E41)+E50</f>
        <v>1045962</v>
      </c>
      <c r="F36" s="141">
        <f>SUM(F37:F41)</f>
        <v>234362</v>
      </c>
      <c r="G36" s="141">
        <f t="shared" si="2"/>
        <v>22.406358930821579</v>
      </c>
      <c r="I36" s="1135"/>
      <c r="J36" s="1135"/>
    </row>
    <row r="37" spans="1:10" ht="15" customHeight="1" x14ac:dyDescent="0.2">
      <c r="A37" s="113"/>
      <c r="B37" s="124" t="s">
        <v>50</v>
      </c>
      <c r="C37" s="3" t="s">
        <v>51</v>
      </c>
      <c r="D37" s="147">
        <f>SUM('3.2.sz.melléklet'!E173+'3.2.sz.melléklet'!E191+'3.2.sz.melléklet'!E196+'3.2.sz.melléklet'!E216)</f>
        <v>16170</v>
      </c>
      <c r="E37" s="147">
        <f>SUM('3.2.sz.melléklet'!F173+'3.2.sz.melléklet'!F191+'3.2.sz.melléklet'!F196+'3.2.sz.melléklet'!F216)</f>
        <v>49543</v>
      </c>
      <c r="F37" s="147">
        <v>780</v>
      </c>
      <c r="G37" s="147">
        <f t="shared" si="2"/>
        <v>1.574389923904487</v>
      </c>
      <c r="I37" s="1135"/>
      <c r="J37" s="1135"/>
    </row>
    <row r="38" spans="1:10" ht="15" customHeight="1" x14ac:dyDescent="0.2">
      <c r="A38" s="97"/>
      <c r="B38" s="109" t="s">
        <v>52</v>
      </c>
      <c r="C38" s="3" t="s">
        <v>53</v>
      </c>
      <c r="D38" s="142">
        <f>SUM('3.2.sz.melléklet'!E7+'3.2.sz.melléklet'!E174+'3.2.sz.melléklet'!E192+'3.2.sz.melléklet'!E197+'3.2.sz.melléklet'!E217)</f>
        <v>10003</v>
      </c>
      <c r="E38" s="142">
        <f>SUM('3.2.sz.melléklet'!F7+'3.2.sz.melléklet'!F174+'3.2.sz.melléklet'!F192+'3.2.sz.melléklet'!F197+'3.2.sz.melléklet'!F217)</f>
        <v>17364</v>
      </c>
      <c r="F38" s="142">
        <v>211</v>
      </c>
      <c r="G38" s="142">
        <f t="shared" si="2"/>
        <v>1.2151577977424557</v>
      </c>
      <c r="I38" s="1135"/>
      <c r="J38" s="1135"/>
    </row>
    <row r="39" spans="1:10" ht="15" customHeight="1" x14ac:dyDescent="0.2">
      <c r="A39" s="97"/>
      <c r="B39" s="109" t="s">
        <v>54</v>
      </c>
      <c r="C39" s="3" t="s">
        <v>55</v>
      </c>
      <c r="D39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39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39" s="142">
        <v>37715</v>
      </c>
      <c r="G39" s="142">
        <f t="shared" si="2"/>
        <v>4.9948945198530996</v>
      </c>
      <c r="I39" s="1135"/>
      <c r="J39" s="1135"/>
    </row>
    <row r="40" spans="1:10" ht="15" customHeight="1" x14ac:dyDescent="0.2">
      <c r="A40" s="97"/>
      <c r="B40" s="109" t="s">
        <v>56</v>
      </c>
      <c r="C40" s="3" t="s">
        <v>57</v>
      </c>
      <c r="D40" s="142">
        <f>SUM('3.2.sz.melléklet'!E116)</f>
        <v>17000</v>
      </c>
      <c r="E40" s="142">
        <f>SUM('3.2.sz.melléklet'!F116)</f>
        <v>17000</v>
      </c>
      <c r="F40" s="142"/>
      <c r="G40" s="142">
        <f t="shared" si="2"/>
        <v>0</v>
      </c>
      <c r="I40" s="1135"/>
      <c r="J40" s="1135"/>
    </row>
    <row r="41" spans="1:10" ht="15" customHeight="1" x14ac:dyDescent="0.2">
      <c r="A41" s="97"/>
      <c r="B41" s="109" t="s">
        <v>58</v>
      </c>
      <c r="C41" s="3" t="s">
        <v>59</v>
      </c>
      <c r="D41" s="142">
        <f>SUM(D42:D49)</f>
        <v>133646</v>
      </c>
      <c r="E41" s="142">
        <f>SUM(E42:E49)</f>
        <v>193789</v>
      </c>
      <c r="F41" s="142">
        <f>SUM(F42:F49)</f>
        <v>195656</v>
      </c>
      <c r="G41" s="142">
        <f t="shared" si="2"/>
        <v>100.9634189763093</v>
      </c>
      <c r="I41" s="1135"/>
      <c r="J41" s="1135"/>
    </row>
    <row r="42" spans="1:10" ht="15" customHeight="1" x14ac:dyDescent="0.2">
      <c r="A42" s="97"/>
      <c r="B42" s="109" t="s">
        <v>60</v>
      </c>
      <c r="C42" s="158" t="s">
        <v>1428</v>
      </c>
      <c r="D42" s="142"/>
      <c r="E42" s="142"/>
      <c r="F42" s="142"/>
      <c r="G42" s="142"/>
      <c r="I42" s="1135"/>
      <c r="J42" s="1135"/>
    </row>
    <row r="43" spans="1:10" ht="15" customHeight="1" x14ac:dyDescent="0.2">
      <c r="A43" s="97"/>
      <c r="B43" s="109" t="s">
        <v>61</v>
      </c>
      <c r="C43" s="158" t="s">
        <v>1548</v>
      </c>
      <c r="D43" s="142"/>
      <c r="E43" s="142"/>
      <c r="F43" s="142">
        <v>89231</v>
      </c>
      <c r="G43" s="142"/>
      <c r="I43" s="1135"/>
      <c r="J43" s="1135"/>
    </row>
    <row r="44" spans="1:10" ht="15" customHeight="1" thickBot="1" x14ac:dyDescent="0.25">
      <c r="A44" s="97"/>
      <c r="B44" s="109" t="s">
        <v>139</v>
      </c>
      <c r="C44" s="158" t="s">
        <v>87</v>
      </c>
      <c r="D44" s="142"/>
      <c r="E44" s="142"/>
      <c r="F44" s="142">
        <v>106425</v>
      </c>
      <c r="G44" s="142"/>
      <c r="I44" s="1135"/>
      <c r="J44" s="1135"/>
    </row>
    <row r="45" spans="1:10" ht="15" hidden="1" customHeight="1" x14ac:dyDescent="0.2">
      <c r="A45" s="97"/>
      <c r="B45" s="109"/>
      <c r="C45" s="158"/>
      <c r="D45" s="142">
        <f>SUM('3.2.sz.melléklet'!E41)</f>
        <v>101646</v>
      </c>
      <c r="E45" s="142">
        <f>SUM('3.2.sz.melléklet'!F41)-'3.2.sz.melléklet'!F60-'3.2.sz.melléklet'!F61</f>
        <v>151236</v>
      </c>
      <c r="F45" s="142"/>
      <c r="G45" s="142">
        <f t="shared" ref="G45:G72" si="5">F45/E45*100</f>
        <v>0</v>
      </c>
      <c r="I45" s="1135"/>
      <c r="J45" s="1135"/>
    </row>
    <row r="46" spans="1:10" ht="15" hidden="1" customHeight="1" x14ac:dyDescent="0.2">
      <c r="A46" s="97"/>
      <c r="B46" s="109"/>
      <c r="C46" s="158"/>
      <c r="D46" s="142"/>
      <c r="E46" s="142">
        <f>'3.2.sz.melléklet'!F27+'3.2.sz.melléklet'!F60+'3.2.sz.melléklet'!F61</f>
        <v>10553</v>
      </c>
      <c r="F46" s="142"/>
      <c r="G46" s="142">
        <f t="shared" si="5"/>
        <v>0</v>
      </c>
      <c r="I46" s="1135"/>
      <c r="J46" s="1135"/>
    </row>
    <row r="47" spans="1:10" ht="15" hidden="1" customHeight="1" x14ac:dyDescent="0.2">
      <c r="A47" s="97"/>
      <c r="B47" s="109"/>
      <c r="C47" s="158"/>
      <c r="D47" s="142"/>
      <c r="E47" s="142"/>
      <c r="F47" s="142"/>
      <c r="G47" s="142"/>
      <c r="I47" s="1135"/>
      <c r="J47" s="1135"/>
    </row>
    <row r="48" spans="1:10" ht="15" hidden="1" customHeight="1" x14ac:dyDescent="0.2">
      <c r="A48" s="97"/>
      <c r="B48" s="109"/>
      <c r="C48" s="158"/>
      <c r="D48" s="142">
        <f>SUM('3.2.sz.melléklet'!E17)</f>
        <v>32000</v>
      </c>
      <c r="E48" s="142">
        <f>SUM('3.2.sz.melléklet'!F17)</f>
        <v>32000</v>
      </c>
      <c r="F48" s="142"/>
      <c r="G48" s="142"/>
      <c r="I48" s="1135"/>
      <c r="J48" s="1135"/>
    </row>
    <row r="49" spans="1:15" ht="15" hidden="1" customHeight="1" x14ac:dyDescent="0.2">
      <c r="A49" s="104"/>
      <c r="B49" s="109"/>
      <c r="C49" s="158"/>
      <c r="D49" s="145"/>
      <c r="E49" s="145"/>
      <c r="F49" s="145"/>
      <c r="G49" s="145"/>
      <c r="I49" s="1135"/>
      <c r="J49" s="1135"/>
    </row>
    <row r="50" spans="1:15" ht="15" hidden="1" customHeight="1" x14ac:dyDescent="0.2">
      <c r="A50" s="1258"/>
      <c r="B50" s="112"/>
      <c r="C50" s="129"/>
      <c r="D50" s="159">
        <f>SUM('3.2.sz.melléklet'!E124)</f>
        <v>143605</v>
      </c>
      <c r="E50" s="159">
        <f>'3.2.sz.melléklet'!F122</f>
        <v>13195</v>
      </c>
      <c r="F50" s="159"/>
      <c r="G50" s="159"/>
      <c r="I50" s="1135"/>
      <c r="J50" s="1135"/>
    </row>
    <row r="51" spans="1:15" ht="15" customHeight="1" thickBot="1" x14ac:dyDescent="0.25">
      <c r="A51" s="1256" t="s">
        <v>3</v>
      </c>
      <c r="B51" s="2"/>
      <c r="C51" s="10" t="s">
        <v>140</v>
      </c>
      <c r="D51" s="141">
        <f>SUM(D52:D54)</f>
        <v>222432</v>
      </c>
      <c r="E51" s="141">
        <f>SUM(E52:E54)</f>
        <v>696460</v>
      </c>
      <c r="F51" s="141">
        <f>SUM(F52:F54)</f>
        <v>252772</v>
      </c>
      <c r="G51" s="141">
        <f t="shared" si="5"/>
        <v>36.293828791316088</v>
      </c>
      <c r="I51" s="1135"/>
      <c r="J51" s="1135"/>
    </row>
    <row r="52" spans="1:15" s="125" customFormat="1" ht="15" customHeight="1" x14ac:dyDescent="0.2">
      <c r="A52" s="113"/>
      <c r="B52" s="109" t="s">
        <v>141</v>
      </c>
      <c r="C52" s="3" t="s">
        <v>142</v>
      </c>
      <c r="D52" s="147">
        <f>SUM('3.2.sz.melléklet'!E140)</f>
        <v>91500</v>
      </c>
      <c r="E52" s="147">
        <f>SUM('3.2.sz.melléklet'!F140)</f>
        <v>595591</v>
      </c>
      <c r="F52" s="147">
        <f>SUM('3.2.sz.melléklet'!G140)</f>
        <v>130500</v>
      </c>
      <c r="G52" s="147">
        <f t="shared" si="5"/>
        <v>21.911009400746487</v>
      </c>
      <c r="I52" s="1135"/>
      <c r="J52" s="1135"/>
    </row>
    <row r="53" spans="1:15" ht="15" customHeight="1" x14ac:dyDescent="0.2">
      <c r="A53" s="97"/>
      <c r="B53" s="109" t="s">
        <v>143</v>
      </c>
      <c r="C53" s="3" t="s">
        <v>64</v>
      </c>
      <c r="D53" s="142">
        <f>SUM('3.2.sz.melléklet'!E139)</f>
        <v>25000</v>
      </c>
      <c r="E53" s="142">
        <f>SUM('3.2.sz.melléklet'!F139)</f>
        <v>25000</v>
      </c>
      <c r="F53" s="142">
        <f>SUM('3.2.sz.melléklet'!G139)</f>
        <v>15000</v>
      </c>
      <c r="G53" s="142">
        <f t="shared" si="5"/>
        <v>60</v>
      </c>
      <c r="I53" s="1135"/>
      <c r="J53" s="1135"/>
    </row>
    <row r="54" spans="1:15" ht="15" customHeight="1" x14ac:dyDescent="0.2">
      <c r="A54" s="97"/>
      <c r="B54" s="109" t="s">
        <v>144</v>
      </c>
      <c r="C54" s="3" t="s">
        <v>66</v>
      </c>
      <c r="D54" s="142">
        <f>SUM(D57+D56)</f>
        <v>105932</v>
      </c>
      <c r="E54" s="142">
        <f t="shared" ref="E54" si="6">SUM(E57+E56)</f>
        <v>75869</v>
      </c>
      <c r="F54" s="142">
        <f>SUM(F55:F57)</f>
        <v>107272</v>
      </c>
      <c r="G54" s="142">
        <f t="shared" si="5"/>
        <v>141.39108199659941</v>
      </c>
      <c r="I54" s="1135"/>
      <c r="J54" s="1135"/>
    </row>
    <row r="55" spans="1:15" ht="15" customHeight="1" x14ac:dyDescent="0.2">
      <c r="A55" s="1294"/>
      <c r="B55" s="1295" t="s">
        <v>469</v>
      </c>
      <c r="C55" s="158" t="s">
        <v>1621</v>
      </c>
      <c r="D55" s="1296"/>
      <c r="E55" s="1296"/>
      <c r="F55" s="1296">
        <f>SUM('3.2.sz.melléklet'!G143)</f>
        <v>80000</v>
      </c>
      <c r="G55" s="1296"/>
      <c r="I55" s="1135"/>
      <c r="J55" s="1135"/>
    </row>
    <row r="56" spans="1:15" ht="15" customHeight="1" x14ac:dyDescent="0.2">
      <c r="A56" s="97"/>
      <c r="B56" s="1295" t="s">
        <v>470</v>
      </c>
      <c r="C56" s="158" t="s">
        <v>62</v>
      </c>
      <c r="D56" s="142">
        <f>SUM('3.2.sz.melléklet'!E148+'3.2.sz.melléklet'!E149)</f>
        <v>54500</v>
      </c>
      <c r="E56" s="142">
        <f>SUM('3.2.sz.melléklet'!F148+'3.2.sz.melléklet'!F149)</f>
        <v>54500</v>
      </c>
      <c r="F56" s="142">
        <f>SUM('3.2.sz.melléklet'!G149)</f>
        <v>0</v>
      </c>
      <c r="G56" s="142">
        <f t="shared" si="5"/>
        <v>0</v>
      </c>
      <c r="I56" s="1135"/>
      <c r="J56" s="1135"/>
    </row>
    <row r="57" spans="1:15" s="125" customFormat="1" ht="15" customHeight="1" thickBot="1" x14ac:dyDescent="0.25">
      <c r="A57" s="97"/>
      <c r="B57" s="1295" t="s">
        <v>471</v>
      </c>
      <c r="C57" s="158" t="s">
        <v>87</v>
      </c>
      <c r="D57" s="142">
        <f>SUM(D58:D60)</f>
        <v>51432</v>
      </c>
      <c r="E57" s="142">
        <f t="shared" ref="E57" si="7">SUM(E58:E60)</f>
        <v>21369</v>
      </c>
      <c r="F57" s="142">
        <f>SUM('3.2.sz.melléklet'!G156)</f>
        <v>27272</v>
      </c>
      <c r="G57" s="142">
        <f t="shared" si="5"/>
        <v>127.62412841031401</v>
      </c>
      <c r="I57" s="1135"/>
      <c r="J57" s="1135"/>
    </row>
    <row r="58" spans="1:15" ht="15" hidden="1" customHeight="1" x14ac:dyDescent="0.25">
      <c r="A58" s="97"/>
      <c r="B58" s="109"/>
      <c r="C58" s="160"/>
      <c r="D58" s="161">
        <f>SUM('3.2.sz.melléklet'!E144)</f>
        <v>51432</v>
      </c>
      <c r="E58" s="161">
        <f>SUM('3.2.sz.melléklet'!F144)</f>
        <v>21369</v>
      </c>
      <c r="F58" s="161"/>
      <c r="G58" s="161">
        <f t="shared" si="5"/>
        <v>0</v>
      </c>
      <c r="I58" s="1135"/>
      <c r="J58" s="1135"/>
      <c r="O58" s="127"/>
    </row>
    <row r="59" spans="1:15" ht="15" hidden="1" customHeight="1" x14ac:dyDescent="0.25">
      <c r="A59" s="97"/>
      <c r="B59" s="109"/>
      <c r="C59" s="160"/>
      <c r="D59" s="161"/>
      <c r="E59" s="161"/>
      <c r="F59" s="161"/>
      <c r="G59" s="161"/>
      <c r="I59" s="1135"/>
      <c r="J59" s="1135"/>
    </row>
    <row r="60" spans="1:15" ht="15" hidden="1" customHeight="1" x14ac:dyDescent="0.25">
      <c r="A60" s="104"/>
      <c r="B60" s="109"/>
      <c r="C60" s="162"/>
      <c r="D60" s="163"/>
      <c r="E60" s="163"/>
      <c r="F60" s="163">
        <f>'3.2.sz.melléklet'!G142</f>
        <v>0</v>
      </c>
      <c r="G60" s="163"/>
      <c r="I60" s="1135"/>
      <c r="J60" s="1135"/>
    </row>
    <row r="61" spans="1:15" ht="15" hidden="1" customHeight="1" x14ac:dyDescent="0.2">
      <c r="A61" s="1256"/>
      <c r="B61" s="2"/>
      <c r="C61" s="10"/>
      <c r="D61" s="119"/>
      <c r="E61" s="119">
        <f>'3.2.sz.melléklet'!F147</f>
        <v>6831</v>
      </c>
      <c r="F61" s="119"/>
      <c r="G61" s="119">
        <f t="shared" si="5"/>
        <v>0</v>
      </c>
      <c r="I61" s="1135"/>
      <c r="J61" s="1135"/>
    </row>
    <row r="62" spans="1:15" s="125" customFormat="1" ht="15" hidden="1" customHeight="1" x14ac:dyDescent="0.2">
      <c r="A62" s="1256"/>
      <c r="B62" s="2"/>
      <c r="C62" s="10"/>
      <c r="D62" s="141">
        <f>+D63+D65</f>
        <v>115000</v>
      </c>
      <c r="E62" s="141">
        <f t="shared" ref="E62:F62" si="8">+E63+E65</f>
        <v>258544</v>
      </c>
      <c r="F62" s="141">
        <f t="shared" si="8"/>
        <v>0</v>
      </c>
      <c r="G62" s="141">
        <f t="shared" si="5"/>
        <v>0</v>
      </c>
      <c r="I62" s="1135"/>
      <c r="J62" s="1135"/>
    </row>
    <row r="63" spans="1:15" s="125" customFormat="1" ht="15" hidden="1" customHeight="1" x14ac:dyDescent="0.2">
      <c r="A63" s="113"/>
      <c r="B63" s="124"/>
      <c r="C63" s="3"/>
      <c r="D63" s="147">
        <f>SUM('3.2.sz.melléklet'!E157)</f>
        <v>20000</v>
      </c>
      <c r="E63" s="147"/>
      <c r="F63" s="147">
        <f>SUM('3.2.sz.melléklet'!G157)</f>
        <v>0</v>
      </c>
      <c r="G63" s="147" t="e">
        <f t="shared" si="5"/>
        <v>#DIV/0!</v>
      </c>
      <c r="I63" s="1135"/>
      <c r="J63" s="1135"/>
    </row>
    <row r="64" spans="1:15" s="125" customFormat="1" ht="15" hidden="1" customHeight="1" x14ac:dyDescent="0.2">
      <c r="A64" s="100"/>
      <c r="B64" s="126"/>
      <c r="C64" s="3"/>
      <c r="D64" s="143"/>
      <c r="E64" s="147"/>
      <c r="F64" s="143"/>
      <c r="G64" s="143"/>
      <c r="I64" s="1135"/>
      <c r="J64" s="1135"/>
    </row>
    <row r="65" spans="1:10" s="125" customFormat="1" ht="15" hidden="1" customHeight="1" x14ac:dyDescent="0.2">
      <c r="A65" s="104"/>
      <c r="B65" s="118"/>
      <c r="C65" s="3"/>
      <c r="D65" s="145">
        <f>SUM('3.2.sz.melléklet'!E158)</f>
        <v>95000</v>
      </c>
      <c r="E65" s="145">
        <f>SUM('3.2.sz.melléklet'!F158)</f>
        <v>258544</v>
      </c>
      <c r="F65" s="145"/>
      <c r="G65" s="145">
        <f t="shared" si="5"/>
        <v>0</v>
      </c>
      <c r="I65" s="1135"/>
      <c r="J65" s="1135"/>
    </row>
    <row r="66" spans="1:10" s="125" customFormat="1" ht="15" hidden="1" customHeight="1" thickBot="1" x14ac:dyDescent="0.25">
      <c r="A66" s="1256"/>
      <c r="B66" s="130"/>
      <c r="C66" s="10"/>
      <c r="D66" s="119">
        <f>SUM('3.2.sz.melléklet'!E33)</f>
        <v>1251895</v>
      </c>
      <c r="E66" s="119" t="e">
        <f>SUM('3.2.sz.melléklet'!F33)</f>
        <v>#REF!</v>
      </c>
      <c r="F66" s="119"/>
      <c r="G66" s="119" t="e">
        <f t="shared" si="5"/>
        <v>#REF!</v>
      </c>
      <c r="I66" s="1135"/>
      <c r="J66" s="1135"/>
    </row>
    <row r="67" spans="1:10" s="125" customFormat="1" ht="15" customHeight="1" thickBot="1" x14ac:dyDescent="0.25">
      <c r="A67" s="1256"/>
      <c r="B67" s="2"/>
      <c r="C67" s="8"/>
      <c r="D67" s="164">
        <f>+D36+D51+D61+D62+D66</f>
        <v>2462862</v>
      </c>
      <c r="E67" s="164" t="e">
        <f>+E36+E51+E61+E62+E66</f>
        <v>#REF!</v>
      </c>
      <c r="F67" s="164"/>
      <c r="G67" s="164" t="e">
        <f t="shared" si="5"/>
        <v>#REF!</v>
      </c>
      <c r="I67" s="1135"/>
      <c r="J67" s="1135"/>
    </row>
    <row r="68" spans="1:10" s="125" customFormat="1" ht="15" customHeight="1" thickBot="1" x14ac:dyDescent="0.25">
      <c r="A68" s="1256" t="s">
        <v>12</v>
      </c>
      <c r="B68" s="2"/>
      <c r="C68" s="10" t="s">
        <v>1623</v>
      </c>
      <c r="D68" s="141">
        <f>+D69+D70</f>
        <v>64000</v>
      </c>
      <c r="E68" s="141">
        <f t="shared" ref="E68:F68" si="9">+E69+E70</f>
        <v>64000</v>
      </c>
      <c r="F68" s="141">
        <f t="shared" si="9"/>
        <v>33795</v>
      </c>
      <c r="G68" s="141">
        <f t="shared" si="5"/>
        <v>52.8046875</v>
      </c>
      <c r="I68" s="1135"/>
      <c r="J68" s="1135"/>
    </row>
    <row r="69" spans="1:10" ht="15" customHeight="1" x14ac:dyDescent="0.2">
      <c r="A69" s="113"/>
      <c r="B69" s="118" t="s">
        <v>720</v>
      </c>
      <c r="C69" s="3" t="s">
        <v>1622</v>
      </c>
      <c r="D69" s="147"/>
      <c r="E69" s="147"/>
      <c r="F69" s="147">
        <v>28005</v>
      </c>
      <c r="G69" s="147"/>
      <c r="I69" s="1135"/>
      <c r="J69" s="1135"/>
    </row>
    <row r="70" spans="1:10" ht="15" customHeight="1" thickBot="1" x14ac:dyDescent="0.25">
      <c r="A70" s="104"/>
      <c r="B70" s="118" t="s">
        <v>538</v>
      </c>
      <c r="C70" s="3" t="s">
        <v>135</v>
      </c>
      <c r="D70" s="145">
        <f>SUM('3.2.sz.melléklet'!E162)</f>
        <v>64000</v>
      </c>
      <c r="E70" s="145">
        <f>SUM('3.2.sz.melléklet'!F162)</f>
        <v>64000</v>
      </c>
      <c r="F70" s="145">
        <f>SUM('3.2.sz.melléklet'!G162)</f>
        <v>5790</v>
      </c>
      <c r="G70" s="145">
        <f t="shared" si="5"/>
        <v>9.046875</v>
      </c>
      <c r="I70" s="1135"/>
      <c r="J70" s="1135"/>
    </row>
    <row r="71" spans="1:10" s="99" customFormat="1" ht="15" customHeight="1" thickBot="1" x14ac:dyDescent="0.25">
      <c r="A71" s="1256"/>
      <c r="B71" s="2"/>
      <c r="C71" s="10"/>
      <c r="D71" s="119"/>
      <c r="E71" s="119"/>
      <c r="F71" s="119">
        <f>'3.2.sz.melléklet'!G230</f>
        <v>0</v>
      </c>
      <c r="G71" s="119"/>
      <c r="I71" s="1135"/>
      <c r="J71" s="1135"/>
    </row>
    <row r="72" spans="1:10" ht="15" customHeight="1" thickBot="1" x14ac:dyDescent="0.25">
      <c r="A72" s="150"/>
      <c r="B72" s="151"/>
      <c r="C72" s="9" t="s">
        <v>984</v>
      </c>
      <c r="D72" s="152">
        <f>+D67+D68</f>
        <v>2526862</v>
      </c>
      <c r="E72" s="152" t="e">
        <f t="shared" ref="E72" si="10">+E67+E68</f>
        <v>#REF!</v>
      </c>
      <c r="F72" s="152">
        <f>SUM(F36+F51+F68)</f>
        <v>520929</v>
      </c>
      <c r="G72" s="152" t="e">
        <f t="shared" si="5"/>
        <v>#REF!</v>
      </c>
      <c r="I72" s="1135"/>
      <c r="J72" s="1135"/>
    </row>
    <row r="73" spans="1:10" ht="21.75" hidden="1" customHeight="1" x14ac:dyDescent="0.2">
      <c r="A73" s="1297"/>
      <c r="B73" s="1298"/>
      <c r="C73" s="1300" t="s">
        <v>1624</v>
      </c>
      <c r="D73" s="1299"/>
      <c r="E73" s="1299"/>
      <c r="F73" s="1299">
        <f>SUM(F69)</f>
        <v>28005</v>
      </c>
      <c r="G73" s="1299"/>
      <c r="I73" s="1135"/>
      <c r="J73" s="1135"/>
    </row>
    <row r="74" spans="1:10" ht="20.25" hidden="1" customHeight="1" thickBot="1" x14ac:dyDescent="0.25">
      <c r="A74" s="165"/>
      <c r="B74" s="166"/>
      <c r="C74" s="1302" t="s">
        <v>1625</v>
      </c>
      <c r="D74" s="132"/>
      <c r="E74" s="132"/>
      <c r="F74" s="1301">
        <f>SUM(F72-F73)</f>
        <v>492924</v>
      </c>
      <c r="G74" s="132"/>
      <c r="I74" s="1135"/>
      <c r="J74" s="1135"/>
    </row>
    <row r="75" spans="1:10" ht="20.25" customHeight="1" thickBot="1" x14ac:dyDescent="0.25">
      <c r="A75" s="1520" t="s">
        <v>136</v>
      </c>
      <c r="B75" s="1520"/>
      <c r="C75" s="1520"/>
      <c r="D75" s="136">
        <f>SUM('3.2.sz.melléklet'!E199+'3.2.sz.melléklet'!E182)</f>
        <v>9.5</v>
      </c>
      <c r="E75" s="136">
        <f>SUM('3.2.sz.melléklet'!F199+'3.2.sz.melléklet'!F182)</f>
        <v>9.5</v>
      </c>
      <c r="F75" s="136"/>
      <c r="G75" s="136"/>
      <c r="I75" s="1135"/>
      <c r="J75" s="1136"/>
    </row>
    <row r="76" spans="1:10" ht="15" customHeight="1" thickBot="1" x14ac:dyDescent="0.25">
      <c r="A76" s="1520" t="s">
        <v>137</v>
      </c>
      <c r="B76" s="1520"/>
      <c r="C76" s="1520"/>
      <c r="D76" s="167">
        <v>13.5</v>
      </c>
      <c r="E76" s="167">
        <v>13.5</v>
      </c>
      <c r="F76" s="167"/>
      <c r="G76" s="167"/>
      <c r="I76" s="1135"/>
      <c r="J76" s="1136"/>
    </row>
    <row r="77" spans="1:10" ht="15" customHeight="1" x14ac:dyDescent="0.2"/>
    <row r="78" spans="1:10" ht="15" customHeight="1" x14ac:dyDescent="0.2"/>
    <row r="79" spans="1:10" ht="13.5" thickBot="1" x14ac:dyDescent="0.25"/>
    <row r="80" spans="1:10" ht="16.5" thickBot="1" x14ac:dyDescent="0.25">
      <c r="E80" s="152">
        <v>4969009</v>
      </c>
      <c r="F80" s="152">
        <v>4971068</v>
      </c>
    </row>
    <row r="83" spans="5:6" ht="15.75" x14ac:dyDescent="0.2">
      <c r="E83" s="971" t="e">
        <f>SUM(E80-E72)</f>
        <v>#REF!</v>
      </c>
      <c r="F83" s="971">
        <f>SUM(F80-F72)</f>
        <v>4450139</v>
      </c>
    </row>
  </sheetData>
  <sheetProtection selectLockedCells="1" selectUnlockedCells="1"/>
  <mergeCells count="8">
    <mergeCell ref="A75:C75"/>
    <mergeCell ref="A76:C76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2014. évi 
bevételei és kiadásai&amp;R&amp;"Times New Roman,Normál"&amp;11 &amp;12 3.b. sz. melléklet
Ezer Ft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3"/>
  <sheetViews>
    <sheetView view="pageBreakPreview" topLeftCell="A4" zoomScaleNormal="130" zoomScaleSheetLayoutView="100" workbookViewId="0">
      <selection activeCell="F8" sqref="F8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6384" width="9.33203125" style="76"/>
  </cols>
  <sheetData>
    <row r="1" spans="1:10" s="79" customFormat="1" ht="33.75" customHeight="1" thickBot="1" x14ac:dyDescent="0.25">
      <c r="A1" s="1521" t="s">
        <v>120</v>
      </c>
      <c r="B1" s="1522"/>
      <c r="C1" s="1254" t="s">
        <v>138</v>
      </c>
      <c r="D1" s="1523" t="s">
        <v>1024</v>
      </c>
      <c r="E1" s="343"/>
      <c r="F1" s="1523" t="s">
        <v>1420</v>
      </c>
      <c r="G1" s="1254"/>
    </row>
    <row r="2" spans="1:10" s="79" customFormat="1" ht="33.75" customHeight="1" thickBot="1" x14ac:dyDescent="0.25">
      <c r="A2" s="1525" t="s">
        <v>122</v>
      </c>
      <c r="B2" s="1526"/>
      <c r="C2" s="80" t="s">
        <v>1542</v>
      </c>
      <c r="D2" s="1524"/>
      <c r="E2" s="327"/>
      <c r="F2" s="1524"/>
      <c r="G2" s="137"/>
    </row>
    <row r="3" spans="1:10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0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0" s="89" customFormat="1" ht="15" customHeight="1" thickBot="1" x14ac:dyDescent="0.25">
      <c r="A5" s="1255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0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0" s="89" customFormat="1" ht="31.5" customHeight="1" thickBot="1" x14ac:dyDescent="0.25">
      <c r="A7" s="1256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165081</v>
      </c>
      <c r="G7" s="141">
        <f>F7/E7*100</f>
        <v>8.9710133901399889</v>
      </c>
      <c r="I7" s="1135"/>
      <c r="J7" s="1135"/>
    </row>
    <row r="8" spans="1:10" s="96" customFormat="1" ht="19.5" customHeight="1" thickBot="1" x14ac:dyDescent="0.25">
      <c r="A8" s="1256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v>145953</v>
      </c>
      <c r="G8" s="141">
        <f t="shared" ref="G8:G41" si="2">F8/E8*100</f>
        <v>8.660172214917381</v>
      </c>
      <c r="I8" s="1135"/>
      <c r="J8" s="1135"/>
    </row>
    <row r="9" spans="1:10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2"/>
        <v>0</v>
      </c>
      <c r="I9" s="1135"/>
      <c r="J9" s="1135"/>
    </row>
    <row r="10" spans="1:10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/>
      <c r="J10" s="1135"/>
    </row>
    <row r="11" spans="1:10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/>
      <c r="G11" s="142">
        <f t="shared" si="2"/>
        <v>0</v>
      </c>
      <c r="I11" s="1135"/>
      <c r="J11" s="1135"/>
    </row>
    <row r="12" spans="1:10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/>
      <c r="G12" s="142">
        <f t="shared" si="2"/>
        <v>0</v>
      </c>
      <c r="I12" s="1135"/>
      <c r="J12" s="1135"/>
    </row>
    <row r="13" spans="1:10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/>
      <c r="J13" s="1135"/>
    </row>
    <row r="14" spans="1:10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/>
      <c r="J14" s="1135"/>
    </row>
    <row r="15" spans="1:10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/>
      <c r="J15" s="1135"/>
    </row>
    <row r="16" spans="1:10" s="96" customFormat="1" ht="18.75" customHeight="1" thickBot="1" x14ac:dyDescent="0.25">
      <c r="A16" s="1256" t="s">
        <v>12</v>
      </c>
      <c r="B16" s="94"/>
      <c r="C16" s="368" t="s">
        <v>1615</v>
      </c>
      <c r="D16" s="141">
        <f>SUM(D17:D24)</f>
        <v>77679</v>
      </c>
      <c r="E16" s="141">
        <f t="shared" ref="E16" si="3">SUM(E17:E24)</f>
        <v>154824</v>
      </c>
      <c r="F16" s="141"/>
      <c r="G16" s="141">
        <f t="shared" si="2"/>
        <v>0</v>
      </c>
      <c r="I16" s="1135"/>
      <c r="J16" s="1135"/>
    </row>
    <row r="17" spans="1:10" s="96" customFormat="1" ht="15" hidden="1" customHeight="1" x14ac:dyDescent="0.2">
      <c r="A17" s="1257"/>
      <c r="B17" s="98"/>
      <c r="C17" s="375"/>
      <c r="D17" s="144"/>
      <c r="E17" s="144"/>
      <c r="F17" s="144"/>
      <c r="G17" s="144"/>
      <c r="I17" s="1135"/>
      <c r="J17" s="1135"/>
    </row>
    <row r="18" spans="1:10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2"/>
      <c r="G18" s="142">
        <f t="shared" si="2"/>
        <v>0</v>
      </c>
      <c r="I18" s="1135"/>
      <c r="J18" s="1135"/>
    </row>
    <row r="19" spans="1:10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2"/>
      <c r="G19" s="142">
        <f t="shared" si="2"/>
        <v>0</v>
      </c>
      <c r="I19" s="1135"/>
      <c r="J19" s="1135"/>
    </row>
    <row r="20" spans="1:10" s="96" customFormat="1" ht="15" hidden="1" customHeight="1" x14ac:dyDescent="0.2">
      <c r="A20" s="97"/>
      <c r="B20" s="98"/>
      <c r="C20" s="375"/>
      <c r="D20" s="142"/>
      <c r="E20" s="142"/>
      <c r="F20" s="142"/>
      <c r="G20" s="142"/>
      <c r="I20" s="1135"/>
      <c r="J20" s="1135"/>
    </row>
    <row r="21" spans="1:10" s="96" customFormat="1" ht="15" hidden="1" customHeight="1" x14ac:dyDescent="0.2">
      <c r="A21" s="97"/>
      <c r="B21" s="98"/>
      <c r="C21" s="375"/>
      <c r="D21" s="142"/>
      <c r="E21" s="142"/>
      <c r="F21" s="142"/>
      <c r="G21" s="142"/>
      <c r="I21" s="1135"/>
      <c r="J21" s="1135"/>
    </row>
    <row r="22" spans="1:10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3"/>
      <c r="G22" s="143">
        <f t="shared" si="2"/>
        <v>0</v>
      </c>
      <c r="I22" s="1135"/>
      <c r="J22" s="1135"/>
    </row>
    <row r="23" spans="1:10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2"/>
      <c r="G23" s="142">
        <f t="shared" si="2"/>
        <v>0</v>
      </c>
      <c r="I23" s="1135"/>
      <c r="J23" s="1135"/>
    </row>
    <row r="24" spans="1:10" s="99" customFormat="1" ht="15" hidden="1" customHeight="1" thickBot="1" x14ac:dyDescent="0.25">
      <c r="A24" s="104"/>
      <c r="B24" s="105"/>
      <c r="C24" s="375"/>
      <c r="D24" s="145"/>
      <c r="E24" s="145"/>
      <c r="F24" s="145"/>
      <c r="G24" s="145"/>
      <c r="I24" s="1135"/>
      <c r="J24" s="1135"/>
    </row>
    <row r="25" spans="1:10" s="99" customFormat="1" ht="15" hidden="1" customHeight="1" x14ac:dyDescent="0.2">
      <c r="A25" s="1256"/>
      <c r="B25" s="106"/>
      <c r="C25" s="368"/>
      <c r="D25" s="119"/>
      <c r="E25" s="119"/>
      <c r="F25" s="119"/>
      <c r="G25" s="141" t="e">
        <f t="shared" si="2"/>
        <v>#DIV/0!</v>
      </c>
      <c r="I25" s="1135"/>
      <c r="J25" s="1135"/>
    </row>
    <row r="26" spans="1:10" s="96" customFormat="1" ht="21" customHeight="1" thickBot="1" x14ac:dyDescent="0.25">
      <c r="A26" s="1256" t="s">
        <v>68</v>
      </c>
      <c r="B26" s="94"/>
      <c r="C26" s="368" t="s">
        <v>1614</v>
      </c>
      <c r="D26" s="141">
        <f>SUM(D27:D32)</f>
        <v>0</v>
      </c>
      <c r="E26" s="141">
        <f>SUM(E27:E32)</f>
        <v>0</v>
      </c>
      <c r="F26" s="141">
        <v>19128</v>
      </c>
      <c r="G26" s="141" t="e">
        <f t="shared" si="2"/>
        <v>#DIV/0!</v>
      </c>
      <c r="I26" s="1135"/>
      <c r="J26" s="1135"/>
    </row>
    <row r="27" spans="1:10" s="99" customFormat="1" ht="30.75" customHeight="1" thickBot="1" x14ac:dyDescent="0.25">
      <c r="A27" s="1256" t="s">
        <v>27</v>
      </c>
      <c r="B27" s="98"/>
      <c r="C27" s="1291" t="s">
        <v>1617</v>
      </c>
      <c r="D27" s="142"/>
      <c r="E27" s="142"/>
      <c r="F27" s="1293"/>
      <c r="G27" s="142" t="e">
        <f t="shared" si="2"/>
        <v>#DIV/0!</v>
      </c>
      <c r="I27" s="1135"/>
      <c r="J27" s="1135"/>
    </row>
    <row r="28" spans="1:10" s="99" customFormat="1" ht="18.75" customHeight="1" thickBot="1" x14ac:dyDescent="0.25">
      <c r="A28" s="1256" t="s">
        <v>32</v>
      </c>
      <c r="B28" s="98"/>
      <c r="C28" s="368" t="s">
        <v>1587</v>
      </c>
      <c r="D28" s="142"/>
      <c r="E28" s="142"/>
      <c r="F28" s="141"/>
      <c r="G28" s="142" t="e">
        <f t="shared" si="2"/>
        <v>#DIV/0!</v>
      </c>
      <c r="I28" s="1135"/>
      <c r="J28" s="1135"/>
    </row>
    <row r="29" spans="1:10" s="99" customFormat="1" ht="18.75" customHeight="1" thickBot="1" x14ac:dyDescent="0.25">
      <c r="A29" s="1256" t="s">
        <v>74</v>
      </c>
      <c r="B29" s="98"/>
      <c r="C29" s="368" t="s">
        <v>1618</v>
      </c>
      <c r="D29" s="142"/>
      <c r="E29" s="142"/>
      <c r="F29" s="141"/>
      <c r="G29" s="142" t="e">
        <f t="shared" si="2"/>
        <v>#DIV/0!</v>
      </c>
      <c r="I29" s="1135"/>
      <c r="J29" s="1135"/>
    </row>
    <row r="30" spans="1:10" s="99" customFormat="1" ht="18.75" customHeight="1" thickBot="1" x14ac:dyDescent="0.25">
      <c r="A30" s="1256" t="s">
        <v>38</v>
      </c>
      <c r="B30" s="98"/>
      <c r="C30" s="368" t="s">
        <v>1171</v>
      </c>
      <c r="D30" s="142"/>
      <c r="E30" s="142"/>
      <c r="F30" s="141"/>
      <c r="G30" s="142"/>
      <c r="I30" s="1135"/>
      <c r="J30" s="1135"/>
    </row>
    <row r="31" spans="1:10" s="99" customFormat="1" ht="21.75" customHeight="1" thickBot="1" x14ac:dyDescent="0.25">
      <c r="A31" s="97"/>
      <c r="B31" s="98"/>
      <c r="C31" s="1291" t="s">
        <v>1619</v>
      </c>
      <c r="D31" s="142"/>
      <c r="E31" s="142"/>
      <c r="F31" s="1317">
        <f>SUM(F32)</f>
        <v>0</v>
      </c>
      <c r="G31" s="142"/>
      <c r="I31" s="1135"/>
      <c r="J31" s="1135"/>
    </row>
    <row r="32" spans="1:10" s="99" customFormat="1" ht="16.5" customHeight="1" thickBot="1" x14ac:dyDescent="0.25">
      <c r="A32" s="97"/>
      <c r="B32" s="98"/>
      <c r="C32" s="368" t="s">
        <v>1595</v>
      </c>
      <c r="D32" s="142"/>
      <c r="E32" s="142"/>
      <c r="F32" s="142"/>
      <c r="G32" s="142"/>
      <c r="I32" s="1135"/>
      <c r="J32" s="1135"/>
    </row>
    <row r="33" spans="1:10" s="99" customFormat="1" ht="21" customHeight="1" thickBot="1" x14ac:dyDescent="0.25">
      <c r="A33" s="150" t="s">
        <v>45</v>
      </c>
      <c r="B33" s="151"/>
      <c r="C33" s="9" t="s">
        <v>1213</v>
      </c>
      <c r="D33" s="152" t="e">
        <f>+#REF!+#REF!+#REF!</f>
        <v>#REF!</v>
      </c>
      <c r="E33" s="152" t="e">
        <f>+#REF!+#REF!+#REF!</f>
        <v>#REF!</v>
      </c>
      <c r="F33" s="152">
        <f>SUM(F7+F27+F31)</f>
        <v>165081</v>
      </c>
      <c r="G33" s="152" t="e">
        <f t="shared" si="2"/>
        <v>#REF!</v>
      </c>
      <c r="I33" s="1135">
        <f>SUM(F72-F33)</f>
        <v>0</v>
      </c>
      <c r="J33" s="1135"/>
    </row>
    <row r="34" spans="1:10" s="99" customFormat="1" ht="15" customHeight="1" thickBot="1" x14ac:dyDescent="0.25">
      <c r="A34" s="153"/>
      <c r="B34" s="153"/>
      <c r="C34" s="154"/>
      <c r="D34" s="155"/>
      <c r="E34" s="155"/>
      <c r="F34" s="155"/>
      <c r="G34" s="155"/>
      <c r="I34" s="1135"/>
      <c r="J34" s="1135"/>
    </row>
    <row r="35" spans="1:10" s="89" customFormat="1" ht="20.25" customHeight="1" thickBot="1" x14ac:dyDescent="0.25">
      <c r="A35" s="156"/>
      <c r="B35" s="157"/>
      <c r="C35" s="121" t="s">
        <v>82</v>
      </c>
      <c r="D35" s="122"/>
      <c r="E35" s="122"/>
      <c r="F35" s="122"/>
      <c r="G35" s="122"/>
      <c r="I35" s="1135"/>
      <c r="J35" s="1135"/>
    </row>
    <row r="36" spans="1:10" s="125" customFormat="1" ht="15" customHeight="1" thickBot="1" x14ac:dyDescent="0.25">
      <c r="A36" s="1256" t="s">
        <v>2</v>
      </c>
      <c r="B36" s="2"/>
      <c r="C36" s="10" t="s">
        <v>1620</v>
      </c>
      <c r="D36" s="141">
        <f>SUM(D37:D41)+D50</f>
        <v>873535</v>
      </c>
      <c r="E36" s="141">
        <f t="shared" ref="E36" si="4">SUM(E37:E41)+E50</f>
        <v>1045962</v>
      </c>
      <c r="F36" s="141">
        <f>SUM(F37:F41)</f>
        <v>17000</v>
      </c>
      <c r="G36" s="141">
        <f t="shared" si="2"/>
        <v>1.6252980509808195</v>
      </c>
      <c r="I36" s="1135"/>
      <c r="J36" s="1135"/>
    </row>
    <row r="37" spans="1:10" ht="15" customHeight="1" x14ac:dyDescent="0.2">
      <c r="A37" s="113"/>
      <c r="B37" s="124" t="s">
        <v>50</v>
      </c>
      <c r="C37" s="3" t="s">
        <v>51</v>
      </c>
      <c r="D37" s="147">
        <f>SUM('3.2.sz.melléklet'!E173+'3.2.sz.melléklet'!E191+'3.2.sz.melléklet'!E196+'3.2.sz.melléklet'!E216)</f>
        <v>16170</v>
      </c>
      <c r="E37" s="147">
        <f>SUM('3.2.sz.melléklet'!F173+'3.2.sz.melléklet'!F191+'3.2.sz.melléklet'!F196+'3.2.sz.melléklet'!F216)</f>
        <v>49543</v>
      </c>
      <c r="F37" s="147"/>
      <c r="G37" s="147">
        <f t="shared" si="2"/>
        <v>0</v>
      </c>
      <c r="I37" s="1135"/>
      <c r="J37" s="1135"/>
    </row>
    <row r="38" spans="1:10" ht="15" customHeight="1" x14ac:dyDescent="0.2">
      <c r="A38" s="97"/>
      <c r="B38" s="109" t="s">
        <v>52</v>
      </c>
      <c r="C38" s="3" t="s">
        <v>53</v>
      </c>
      <c r="D38" s="142">
        <f>SUM('3.2.sz.melléklet'!E7+'3.2.sz.melléklet'!E174+'3.2.sz.melléklet'!E192+'3.2.sz.melléklet'!E197+'3.2.sz.melléklet'!E217)</f>
        <v>10003</v>
      </c>
      <c r="E38" s="142">
        <f>SUM('3.2.sz.melléklet'!F7+'3.2.sz.melléklet'!F174+'3.2.sz.melléklet'!F192+'3.2.sz.melléklet'!F197+'3.2.sz.melléklet'!F217)</f>
        <v>17364</v>
      </c>
      <c r="F38" s="142"/>
      <c r="G38" s="142">
        <f t="shared" si="2"/>
        <v>0</v>
      </c>
      <c r="I38" s="1135"/>
      <c r="J38" s="1135"/>
    </row>
    <row r="39" spans="1:10" ht="15" customHeight="1" x14ac:dyDescent="0.2">
      <c r="A39" s="97"/>
      <c r="B39" s="109" t="s">
        <v>54</v>
      </c>
      <c r="C39" s="3" t="s">
        <v>55</v>
      </c>
      <c r="D39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39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39" s="142"/>
      <c r="G39" s="142">
        <f t="shared" si="2"/>
        <v>0</v>
      </c>
      <c r="I39" s="1135"/>
      <c r="J39" s="1135"/>
    </row>
    <row r="40" spans="1:10" ht="15" customHeight="1" x14ac:dyDescent="0.2">
      <c r="A40" s="97"/>
      <c r="B40" s="109" t="s">
        <v>56</v>
      </c>
      <c r="C40" s="3" t="s">
        <v>57</v>
      </c>
      <c r="D40" s="142">
        <f>SUM('3.2.sz.melléklet'!E116)</f>
        <v>17000</v>
      </c>
      <c r="E40" s="142">
        <f>SUM('3.2.sz.melléklet'!F116)</f>
        <v>17000</v>
      </c>
      <c r="F40" s="142">
        <v>17000</v>
      </c>
      <c r="G40" s="142">
        <f t="shared" si="2"/>
        <v>100</v>
      </c>
      <c r="I40" s="1135"/>
      <c r="J40" s="1135"/>
    </row>
    <row r="41" spans="1:10" ht="15" customHeight="1" x14ac:dyDescent="0.2">
      <c r="A41" s="97"/>
      <c r="B41" s="109" t="s">
        <v>58</v>
      </c>
      <c r="C41" s="3" t="s">
        <v>59</v>
      </c>
      <c r="D41" s="142">
        <f>SUM(D42:D49)</f>
        <v>133646</v>
      </c>
      <c r="E41" s="142">
        <f>SUM(E42:E49)</f>
        <v>193789</v>
      </c>
      <c r="F41" s="142">
        <f>SUM(F42:F49)</f>
        <v>0</v>
      </c>
      <c r="G41" s="142">
        <f t="shared" si="2"/>
        <v>0</v>
      </c>
      <c r="I41" s="1135"/>
      <c r="J41" s="1135"/>
    </row>
    <row r="42" spans="1:10" ht="15" customHeight="1" x14ac:dyDescent="0.2">
      <c r="A42" s="97"/>
      <c r="B42" s="109" t="s">
        <v>60</v>
      </c>
      <c r="C42" s="158" t="s">
        <v>1428</v>
      </c>
      <c r="D42" s="142"/>
      <c r="E42" s="142"/>
      <c r="F42" s="142"/>
      <c r="G42" s="142"/>
      <c r="I42" s="1135"/>
      <c r="J42" s="1135"/>
    </row>
    <row r="43" spans="1:10" ht="15" customHeight="1" x14ac:dyDescent="0.2">
      <c r="A43" s="97"/>
      <c r="B43" s="109" t="s">
        <v>61</v>
      </c>
      <c r="C43" s="158" t="s">
        <v>1548</v>
      </c>
      <c r="D43" s="142"/>
      <c r="E43" s="142"/>
      <c r="F43" s="142"/>
      <c r="G43" s="142"/>
      <c r="I43" s="1135"/>
      <c r="J43" s="1135"/>
    </row>
    <row r="44" spans="1:10" ht="15" customHeight="1" thickBot="1" x14ac:dyDescent="0.25">
      <c r="A44" s="97"/>
      <c r="B44" s="109" t="s">
        <v>139</v>
      </c>
      <c r="C44" s="158" t="s">
        <v>87</v>
      </c>
      <c r="D44" s="142"/>
      <c r="E44" s="142"/>
      <c r="F44" s="142"/>
      <c r="G44" s="142"/>
      <c r="I44" s="1135"/>
      <c r="J44" s="1135"/>
    </row>
    <row r="45" spans="1:10" ht="15" hidden="1" customHeight="1" x14ac:dyDescent="0.2">
      <c r="A45" s="97"/>
      <c r="B45" s="109"/>
      <c r="C45" s="158"/>
      <c r="D45" s="142">
        <f>SUM('3.2.sz.melléklet'!E41)</f>
        <v>101646</v>
      </c>
      <c r="E45" s="142">
        <f>SUM('3.2.sz.melléklet'!F41)-'3.2.sz.melléklet'!F60-'3.2.sz.melléklet'!F61</f>
        <v>151236</v>
      </c>
      <c r="F45" s="142"/>
      <c r="G45" s="142">
        <f t="shared" ref="G45:G72" si="5">F45/E45*100</f>
        <v>0</v>
      </c>
      <c r="I45" s="1135"/>
      <c r="J45" s="1135"/>
    </row>
    <row r="46" spans="1:10" ht="15" hidden="1" customHeight="1" x14ac:dyDescent="0.2">
      <c r="A46" s="97"/>
      <c r="B46" s="109"/>
      <c r="C46" s="158"/>
      <c r="D46" s="142"/>
      <c r="E46" s="142">
        <f>'3.2.sz.melléklet'!F27+'3.2.sz.melléklet'!F60+'3.2.sz.melléklet'!F61</f>
        <v>10553</v>
      </c>
      <c r="F46" s="142"/>
      <c r="G46" s="142">
        <f t="shared" si="5"/>
        <v>0</v>
      </c>
      <c r="I46" s="1135"/>
      <c r="J46" s="1135"/>
    </row>
    <row r="47" spans="1:10" ht="15" hidden="1" customHeight="1" x14ac:dyDescent="0.2">
      <c r="A47" s="97"/>
      <c r="B47" s="109"/>
      <c r="C47" s="158"/>
      <c r="D47" s="142"/>
      <c r="E47" s="142"/>
      <c r="F47" s="142"/>
      <c r="G47" s="142"/>
      <c r="I47" s="1135"/>
      <c r="J47" s="1135"/>
    </row>
    <row r="48" spans="1:10" ht="15" hidden="1" customHeight="1" x14ac:dyDescent="0.2">
      <c r="A48" s="97"/>
      <c r="B48" s="109"/>
      <c r="C48" s="158"/>
      <c r="D48" s="142">
        <f>SUM('3.2.sz.melléklet'!E17)</f>
        <v>32000</v>
      </c>
      <c r="E48" s="142">
        <f>SUM('3.2.sz.melléklet'!F17)</f>
        <v>32000</v>
      </c>
      <c r="F48" s="142"/>
      <c r="G48" s="142"/>
      <c r="I48" s="1135"/>
      <c r="J48" s="1135"/>
    </row>
    <row r="49" spans="1:15" ht="15" hidden="1" customHeight="1" x14ac:dyDescent="0.2">
      <c r="A49" s="104"/>
      <c r="B49" s="109"/>
      <c r="C49" s="158"/>
      <c r="D49" s="145"/>
      <c r="E49" s="145"/>
      <c r="F49" s="145"/>
      <c r="G49" s="145"/>
      <c r="I49" s="1135"/>
      <c r="J49" s="1135"/>
    </row>
    <row r="50" spans="1:15" ht="15" hidden="1" customHeight="1" x14ac:dyDescent="0.2">
      <c r="A50" s="1258"/>
      <c r="B50" s="112"/>
      <c r="C50" s="129"/>
      <c r="D50" s="159">
        <f>SUM('3.2.sz.melléklet'!E124)</f>
        <v>143605</v>
      </c>
      <c r="E50" s="159">
        <f>'3.2.sz.melléklet'!F122</f>
        <v>13195</v>
      </c>
      <c r="F50" s="159"/>
      <c r="G50" s="159"/>
      <c r="I50" s="1135"/>
      <c r="J50" s="1135"/>
    </row>
    <row r="51" spans="1:15" ht="15" customHeight="1" thickBot="1" x14ac:dyDescent="0.25">
      <c r="A51" s="1256" t="s">
        <v>3</v>
      </c>
      <c r="B51" s="2"/>
      <c r="C51" s="10" t="s">
        <v>140</v>
      </c>
      <c r="D51" s="141">
        <f>SUM(D52:D54)</f>
        <v>222432</v>
      </c>
      <c r="E51" s="141">
        <f>SUM(E52:E54)</f>
        <v>696460</v>
      </c>
      <c r="F51" s="141">
        <f>SUM(F52:F54)</f>
        <v>0</v>
      </c>
      <c r="G51" s="141">
        <f t="shared" si="5"/>
        <v>0</v>
      </c>
      <c r="I51" s="1135"/>
      <c r="J51" s="1135"/>
    </row>
    <row r="52" spans="1:15" s="125" customFormat="1" ht="15" customHeight="1" x14ac:dyDescent="0.2">
      <c r="A52" s="113"/>
      <c r="B52" s="109" t="s">
        <v>141</v>
      </c>
      <c r="C52" s="3" t="s">
        <v>142</v>
      </c>
      <c r="D52" s="147">
        <f>SUM('3.2.sz.melléklet'!E140)</f>
        <v>91500</v>
      </c>
      <c r="E52" s="147">
        <f>SUM('3.2.sz.melléklet'!F140)</f>
        <v>595591</v>
      </c>
      <c r="F52" s="147"/>
      <c r="G52" s="147">
        <f t="shared" si="5"/>
        <v>0</v>
      </c>
      <c r="I52" s="1135"/>
      <c r="J52" s="1135"/>
    </row>
    <row r="53" spans="1:15" ht="15" customHeight="1" x14ac:dyDescent="0.2">
      <c r="A53" s="97"/>
      <c r="B53" s="109" t="s">
        <v>143</v>
      </c>
      <c r="C53" s="3" t="s">
        <v>64</v>
      </c>
      <c r="D53" s="142">
        <f>SUM('3.2.sz.melléklet'!E139)</f>
        <v>25000</v>
      </c>
      <c r="E53" s="142">
        <f>SUM('3.2.sz.melléklet'!F139)</f>
        <v>25000</v>
      </c>
      <c r="F53" s="142"/>
      <c r="G53" s="142">
        <f t="shared" si="5"/>
        <v>0</v>
      </c>
      <c r="I53" s="1135"/>
      <c r="J53" s="1135"/>
    </row>
    <row r="54" spans="1:15" ht="15" customHeight="1" x14ac:dyDescent="0.2">
      <c r="A54" s="97"/>
      <c r="B54" s="109" t="s">
        <v>144</v>
      </c>
      <c r="C54" s="3" t="s">
        <v>66</v>
      </c>
      <c r="D54" s="142">
        <f>SUM(D57+D56)</f>
        <v>105932</v>
      </c>
      <c r="E54" s="142">
        <f t="shared" ref="E54" si="6">SUM(E57+E56)</f>
        <v>75869</v>
      </c>
      <c r="F54" s="142">
        <f>SUM(F55:F57)</f>
        <v>0</v>
      </c>
      <c r="G54" s="142">
        <f t="shared" si="5"/>
        <v>0</v>
      </c>
      <c r="I54" s="1135"/>
      <c r="J54" s="1135"/>
    </row>
    <row r="55" spans="1:15" ht="15" customHeight="1" x14ac:dyDescent="0.2">
      <c r="A55" s="1294"/>
      <c r="B55" s="1295" t="s">
        <v>469</v>
      </c>
      <c r="C55" s="158" t="s">
        <v>1621</v>
      </c>
      <c r="D55" s="1296"/>
      <c r="E55" s="1296"/>
      <c r="F55" s="1296"/>
      <c r="G55" s="1296"/>
      <c r="I55" s="1135"/>
      <c r="J55" s="1135"/>
    </row>
    <row r="56" spans="1:15" ht="15" customHeight="1" x14ac:dyDescent="0.2">
      <c r="A56" s="97"/>
      <c r="B56" s="1295" t="s">
        <v>470</v>
      </c>
      <c r="C56" s="158" t="s">
        <v>62</v>
      </c>
      <c r="D56" s="142">
        <f>SUM('3.2.sz.melléklet'!E148+'3.2.sz.melléklet'!E149)</f>
        <v>54500</v>
      </c>
      <c r="E56" s="142">
        <f>SUM('3.2.sz.melléklet'!F148+'3.2.sz.melléklet'!F149)</f>
        <v>54500</v>
      </c>
      <c r="F56" s="142"/>
      <c r="G56" s="142">
        <f t="shared" si="5"/>
        <v>0</v>
      </c>
      <c r="I56" s="1135"/>
      <c r="J56" s="1135"/>
    </row>
    <row r="57" spans="1:15" s="125" customFormat="1" ht="15" customHeight="1" thickBot="1" x14ac:dyDescent="0.25">
      <c r="A57" s="97"/>
      <c r="B57" s="1295" t="s">
        <v>471</v>
      </c>
      <c r="C57" s="158" t="s">
        <v>87</v>
      </c>
      <c r="D57" s="142">
        <f>SUM(D58:D60)</f>
        <v>51432</v>
      </c>
      <c r="E57" s="142">
        <f t="shared" ref="E57" si="7">SUM(E58:E60)</f>
        <v>21369</v>
      </c>
      <c r="F57" s="142"/>
      <c r="G57" s="142">
        <f t="shared" si="5"/>
        <v>0</v>
      </c>
      <c r="I57" s="1135"/>
      <c r="J57" s="1135"/>
    </row>
    <row r="58" spans="1:15" ht="15" hidden="1" customHeight="1" x14ac:dyDescent="0.25">
      <c r="A58" s="97"/>
      <c r="B58" s="109"/>
      <c r="C58" s="160"/>
      <c r="D58" s="161">
        <f>SUM('3.2.sz.melléklet'!E144)</f>
        <v>51432</v>
      </c>
      <c r="E58" s="161">
        <f>SUM('3.2.sz.melléklet'!F144)</f>
        <v>21369</v>
      </c>
      <c r="F58" s="161"/>
      <c r="G58" s="161">
        <f t="shared" si="5"/>
        <v>0</v>
      </c>
      <c r="I58" s="1135"/>
      <c r="J58" s="1135"/>
      <c r="O58" s="127"/>
    </row>
    <row r="59" spans="1:15" ht="15" hidden="1" customHeight="1" x14ac:dyDescent="0.25">
      <c r="A59" s="97"/>
      <c r="B59" s="109"/>
      <c r="C59" s="160"/>
      <c r="D59" s="161"/>
      <c r="E59" s="161"/>
      <c r="F59" s="161"/>
      <c r="G59" s="161"/>
      <c r="I59" s="1135"/>
      <c r="J59" s="1135"/>
    </row>
    <row r="60" spans="1:15" ht="15" hidden="1" customHeight="1" x14ac:dyDescent="0.25">
      <c r="A60" s="104"/>
      <c r="B60" s="109"/>
      <c r="C60" s="162"/>
      <c r="D60" s="163"/>
      <c r="E60" s="163"/>
      <c r="F60" s="163">
        <f>'3.2.sz.melléklet'!G142</f>
        <v>0</v>
      </c>
      <c r="G60" s="163"/>
      <c r="I60" s="1135"/>
      <c r="J60" s="1135"/>
    </row>
    <row r="61" spans="1:15" ht="15" hidden="1" customHeight="1" x14ac:dyDescent="0.2">
      <c r="A61" s="1256"/>
      <c r="B61" s="2"/>
      <c r="C61" s="10"/>
      <c r="D61" s="119"/>
      <c r="E61" s="119">
        <f>'3.2.sz.melléklet'!F147</f>
        <v>6831</v>
      </c>
      <c r="F61" s="119"/>
      <c r="G61" s="119">
        <f t="shared" si="5"/>
        <v>0</v>
      </c>
      <c r="I61" s="1135"/>
      <c r="J61" s="1135"/>
    </row>
    <row r="62" spans="1:15" s="125" customFormat="1" ht="15" hidden="1" customHeight="1" x14ac:dyDescent="0.2">
      <c r="A62" s="1256"/>
      <c r="B62" s="2"/>
      <c r="C62" s="10"/>
      <c r="D62" s="141">
        <f>+D63+D65</f>
        <v>115000</v>
      </c>
      <c r="E62" s="141">
        <f t="shared" ref="E62:F62" si="8">+E63+E65</f>
        <v>258544</v>
      </c>
      <c r="F62" s="141">
        <f t="shared" si="8"/>
        <v>0</v>
      </c>
      <c r="G62" s="141">
        <f t="shared" si="5"/>
        <v>0</v>
      </c>
      <c r="I62" s="1135"/>
      <c r="J62" s="1135"/>
    </row>
    <row r="63" spans="1:15" s="125" customFormat="1" ht="15" hidden="1" customHeight="1" x14ac:dyDescent="0.2">
      <c r="A63" s="113"/>
      <c r="B63" s="124"/>
      <c r="C63" s="3"/>
      <c r="D63" s="147">
        <f>SUM('3.2.sz.melléklet'!E157)</f>
        <v>20000</v>
      </c>
      <c r="E63" s="147"/>
      <c r="F63" s="147">
        <f>SUM('3.2.sz.melléklet'!G157)</f>
        <v>0</v>
      </c>
      <c r="G63" s="147" t="e">
        <f t="shared" si="5"/>
        <v>#DIV/0!</v>
      </c>
      <c r="I63" s="1135"/>
      <c r="J63" s="1135"/>
    </row>
    <row r="64" spans="1:15" s="125" customFormat="1" ht="15" hidden="1" customHeight="1" x14ac:dyDescent="0.2">
      <c r="A64" s="100"/>
      <c r="B64" s="126"/>
      <c r="C64" s="3"/>
      <c r="D64" s="143"/>
      <c r="E64" s="147"/>
      <c r="F64" s="143"/>
      <c r="G64" s="143"/>
      <c r="I64" s="1135"/>
      <c r="J64" s="1135"/>
    </row>
    <row r="65" spans="1:10" s="125" customFormat="1" ht="15" hidden="1" customHeight="1" x14ac:dyDescent="0.2">
      <c r="A65" s="104"/>
      <c r="B65" s="118"/>
      <c r="C65" s="3"/>
      <c r="D65" s="145">
        <f>SUM('3.2.sz.melléklet'!E158)</f>
        <v>95000</v>
      </c>
      <c r="E65" s="145">
        <f>SUM('3.2.sz.melléklet'!F158)</f>
        <v>258544</v>
      </c>
      <c r="F65" s="145"/>
      <c r="G65" s="145">
        <f t="shared" si="5"/>
        <v>0</v>
      </c>
      <c r="I65" s="1135"/>
      <c r="J65" s="1135"/>
    </row>
    <row r="66" spans="1:10" s="125" customFormat="1" ht="15" hidden="1" customHeight="1" thickBot="1" x14ac:dyDescent="0.25">
      <c r="A66" s="1256"/>
      <c r="B66" s="130"/>
      <c r="C66" s="10"/>
      <c r="D66" s="119">
        <f>SUM('3.2.sz.melléklet'!E33)</f>
        <v>1251895</v>
      </c>
      <c r="E66" s="119" t="e">
        <f>SUM('3.2.sz.melléklet'!F33)</f>
        <v>#REF!</v>
      </c>
      <c r="F66" s="119"/>
      <c r="G66" s="119" t="e">
        <f t="shared" si="5"/>
        <v>#REF!</v>
      </c>
      <c r="I66" s="1135"/>
      <c r="J66" s="1135"/>
    </row>
    <row r="67" spans="1:10" s="125" customFormat="1" ht="15" customHeight="1" thickBot="1" x14ac:dyDescent="0.25">
      <c r="A67" s="1256"/>
      <c r="B67" s="2"/>
      <c r="C67" s="8"/>
      <c r="D67" s="164">
        <f>+D36+D51+D61+D62+D66</f>
        <v>2462862</v>
      </c>
      <c r="E67" s="164" t="e">
        <f>+E36+E51+E61+E62+E66</f>
        <v>#REF!</v>
      </c>
      <c r="F67" s="164"/>
      <c r="G67" s="164" t="e">
        <f t="shared" si="5"/>
        <v>#REF!</v>
      </c>
      <c r="I67" s="1135"/>
      <c r="J67" s="1135"/>
    </row>
    <row r="68" spans="1:10" s="125" customFormat="1" ht="15" customHeight="1" thickBot="1" x14ac:dyDescent="0.25">
      <c r="A68" s="1256" t="s">
        <v>12</v>
      </c>
      <c r="B68" s="2"/>
      <c r="C68" s="10" t="s">
        <v>1623</v>
      </c>
      <c r="D68" s="141">
        <f>+D69+D70</f>
        <v>64000</v>
      </c>
      <c r="E68" s="141">
        <f>+E69+E70</f>
        <v>64000</v>
      </c>
      <c r="F68" s="141">
        <f>+F69+F70</f>
        <v>148081</v>
      </c>
      <c r="G68" s="141">
        <f t="shared" si="5"/>
        <v>231.37656249999998</v>
      </c>
      <c r="I68" s="1135"/>
      <c r="J68" s="1135"/>
    </row>
    <row r="69" spans="1:10" ht="15" customHeight="1" x14ac:dyDescent="0.2">
      <c r="A69" s="113"/>
      <c r="B69" s="118" t="s">
        <v>720</v>
      </c>
      <c r="C69" s="3" t="s">
        <v>1622</v>
      </c>
      <c r="D69" s="147"/>
      <c r="E69" s="147"/>
      <c r="F69" s="147">
        <v>148081</v>
      </c>
      <c r="G69" s="147"/>
      <c r="I69" s="1135"/>
      <c r="J69" s="1135"/>
    </row>
    <row r="70" spans="1:10" ht="15" customHeight="1" thickBot="1" x14ac:dyDescent="0.25">
      <c r="A70" s="104"/>
      <c r="B70" s="118" t="s">
        <v>538</v>
      </c>
      <c r="C70" s="3" t="s">
        <v>135</v>
      </c>
      <c r="D70" s="145">
        <f>SUM('3.2.sz.melléklet'!E162)</f>
        <v>64000</v>
      </c>
      <c r="E70" s="145">
        <f>SUM('3.2.sz.melléklet'!F162)</f>
        <v>64000</v>
      </c>
      <c r="F70" s="145"/>
      <c r="G70" s="145">
        <f t="shared" si="5"/>
        <v>0</v>
      </c>
      <c r="I70" s="1135"/>
      <c r="J70" s="1135"/>
    </row>
    <row r="71" spans="1:10" s="99" customFormat="1" ht="15" customHeight="1" thickBot="1" x14ac:dyDescent="0.25">
      <c r="A71" s="1256"/>
      <c r="B71" s="2"/>
      <c r="C71" s="10"/>
      <c r="D71" s="119"/>
      <c r="E71" s="119"/>
      <c r="F71" s="119">
        <f>'3.2.sz.melléklet'!G230</f>
        <v>0</v>
      </c>
      <c r="G71" s="119"/>
      <c r="I71" s="1135"/>
      <c r="J71" s="1135"/>
    </row>
    <row r="72" spans="1:10" ht="15" customHeight="1" thickBot="1" x14ac:dyDescent="0.25">
      <c r="A72" s="150"/>
      <c r="B72" s="151"/>
      <c r="C72" s="9" t="s">
        <v>984</v>
      </c>
      <c r="D72" s="152">
        <f>+D67+D68</f>
        <v>2526862</v>
      </c>
      <c r="E72" s="152" t="e">
        <f t="shared" ref="E72" si="9">+E67+E68</f>
        <v>#REF!</v>
      </c>
      <c r="F72" s="152">
        <f>SUM(F36+F51+F68)</f>
        <v>165081</v>
      </c>
      <c r="G72" s="152" t="e">
        <f t="shared" si="5"/>
        <v>#REF!</v>
      </c>
      <c r="I72" s="1135"/>
      <c r="J72" s="1135"/>
    </row>
    <row r="73" spans="1:10" ht="21.75" hidden="1" customHeight="1" x14ac:dyDescent="0.2">
      <c r="A73" s="1297"/>
      <c r="B73" s="1298"/>
      <c r="C73" s="1300" t="s">
        <v>1624</v>
      </c>
      <c r="D73" s="1299"/>
      <c r="E73" s="1299"/>
      <c r="F73" s="1299">
        <f>SUM(F69)</f>
        <v>148081</v>
      </c>
      <c r="G73" s="1299"/>
      <c r="I73" s="1135"/>
      <c r="J73" s="1135"/>
    </row>
    <row r="74" spans="1:10" ht="20.25" hidden="1" customHeight="1" thickBot="1" x14ac:dyDescent="0.25">
      <c r="A74" s="165"/>
      <c r="B74" s="166"/>
      <c r="C74" s="1302" t="s">
        <v>1625</v>
      </c>
      <c r="D74" s="132"/>
      <c r="E74" s="132"/>
      <c r="F74" s="1301">
        <f>SUM(F72-F73)</f>
        <v>17000</v>
      </c>
      <c r="G74" s="132"/>
      <c r="I74" s="1135"/>
      <c r="J74" s="1135"/>
    </row>
    <row r="75" spans="1:10" ht="20.25" customHeight="1" thickBot="1" x14ac:dyDescent="0.25">
      <c r="A75" s="1520" t="s">
        <v>136</v>
      </c>
      <c r="B75" s="1520"/>
      <c r="C75" s="1520"/>
      <c r="D75" s="136">
        <f>SUM('3.2.sz.melléklet'!E199+'3.2.sz.melléklet'!E182)</f>
        <v>9.5</v>
      </c>
      <c r="E75" s="136">
        <f>SUM('3.2.sz.melléklet'!F199+'3.2.sz.melléklet'!F182)</f>
        <v>9.5</v>
      </c>
      <c r="F75" s="136"/>
      <c r="G75" s="136"/>
      <c r="I75" s="1135"/>
      <c r="J75" s="1136"/>
    </row>
    <row r="76" spans="1:10" ht="15" customHeight="1" thickBot="1" x14ac:dyDescent="0.25">
      <c r="A76" s="1520" t="s">
        <v>137</v>
      </c>
      <c r="B76" s="1520"/>
      <c r="C76" s="1520"/>
      <c r="D76" s="167">
        <v>13.5</v>
      </c>
      <c r="E76" s="167">
        <v>13.5</v>
      </c>
      <c r="F76" s="167"/>
      <c r="G76" s="167"/>
      <c r="I76" s="1135"/>
      <c r="J76" s="1136"/>
    </row>
    <row r="77" spans="1:10" ht="15" customHeight="1" x14ac:dyDescent="0.2"/>
    <row r="78" spans="1:10" ht="15" customHeight="1" x14ac:dyDescent="0.2"/>
    <row r="79" spans="1:10" ht="13.5" thickBot="1" x14ac:dyDescent="0.25"/>
    <row r="80" spans="1:10" ht="16.5" thickBot="1" x14ac:dyDescent="0.25">
      <c r="E80" s="152">
        <v>4969009</v>
      </c>
      <c r="F80" s="152">
        <v>4971068</v>
      </c>
    </row>
    <row r="83" spans="5:6" ht="15.75" x14ac:dyDescent="0.2">
      <c r="E83" s="971" t="e">
        <f>SUM(E80-E72)</f>
        <v>#REF!</v>
      </c>
      <c r="F83" s="971">
        <f>SUM(F80-F72)</f>
        <v>4805987</v>
      </c>
    </row>
  </sheetData>
  <sheetProtection selectLockedCells="1" selectUnlockedCells="1"/>
  <mergeCells count="8">
    <mergeCell ref="A75:C75"/>
    <mergeCell ref="A76:C76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2014. évi 
bevételei és kiadásai&amp;R&amp;"Times New Roman,Normál"&amp;11 &amp;12 3.c. sz. melléklet
Ezer Ft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66"/>
  <sheetViews>
    <sheetView view="pageBreakPreview" zoomScale="120" zoomScaleSheetLayoutView="120" workbookViewId="0">
      <selection activeCell="D5" sqref="D5"/>
    </sheetView>
  </sheetViews>
  <sheetFormatPr defaultRowHeight="12.75" x14ac:dyDescent="0.2"/>
  <cols>
    <col min="1" max="1" width="2.5" style="168" customWidth="1"/>
    <col min="2" max="2" width="4.1640625" style="169" customWidth="1"/>
    <col min="3" max="3" width="5.1640625" style="169" customWidth="1"/>
    <col min="4" max="4" width="63.83203125" style="168" customWidth="1"/>
    <col min="5" max="6" width="15.83203125" style="168" hidden="1" customWidth="1"/>
    <col min="7" max="7" width="15" style="168" customWidth="1"/>
    <col min="8" max="8" width="8.33203125" style="168" hidden="1" customWidth="1"/>
    <col min="9" max="16384" width="9.33203125" style="168"/>
  </cols>
  <sheetData>
    <row r="1" spans="1:8" ht="48" customHeight="1" x14ac:dyDescent="0.2">
      <c r="A1" s="1544" t="s">
        <v>150</v>
      </c>
      <c r="B1" s="1544"/>
      <c r="C1" s="1544"/>
      <c r="D1" s="170" t="s">
        <v>122</v>
      </c>
      <c r="E1" s="171" t="s">
        <v>1032</v>
      </c>
      <c r="F1" s="171" t="s">
        <v>1329</v>
      </c>
      <c r="G1" s="171" t="s">
        <v>1421</v>
      </c>
      <c r="H1" s="171" t="s">
        <v>1</v>
      </c>
    </row>
    <row r="2" spans="1:8" ht="18.75" x14ac:dyDescent="0.3">
      <c r="A2" s="172"/>
      <c r="B2" s="173"/>
      <c r="C2" s="174"/>
      <c r="D2" s="175" t="s">
        <v>151</v>
      </c>
      <c r="E2" s="176"/>
      <c r="F2" s="176"/>
      <c r="G2" s="176"/>
      <c r="H2" s="176"/>
    </row>
    <row r="3" spans="1:8" ht="19.5" customHeight="1" x14ac:dyDescent="0.25">
      <c r="A3" s="1531" t="s">
        <v>152</v>
      </c>
      <c r="B3" s="1531"/>
      <c r="C3" s="1531"/>
      <c r="D3" s="1531"/>
      <c r="E3" s="177"/>
      <c r="F3" s="177"/>
      <c r="G3" s="177"/>
      <c r="H3" s="177"/>
    </row>
    <row r="4" spans="1:8" s="183" customFormat="1" ht="16.5" x14ac:dyDescent="0.25">
      <c r="A4" s="178"/>
      <c r="B4" s="179" t="s">
        <v>50</v>
      </c>
      <c r="C4" s="180"/>
      <c r="D4" s="181" t="s">
        <v>1760</v>
      </c>
      <c r="E4" s="182">
        <f>SUM(E5+E7+E15+E25+E26+E27+E28)</f>
        <v>77679</v>
      </c>
      <c r="F4" s="182">
        <f>SUM(F5+F7+F15+F25+F26+F27+F28)</f>
        <v>154824</v>
      </c>
      <c r="G4" s="182">
        <f>SUM(G5+G7+G15+G25+G26+G27+G28)+G9</f>
        <v>81925</v>
      </c>
      <c r="H4" s="182">
        <f>G4/F4*100</f>
        <v>52.914922750994677</v>
      </c>
    </row>
    <row r="5" spans="1:8" s="189" customFormat="1" ht="15" x14ac:dyDescent="0.25">
      <c r="A5" s="184"/>
      <c r="B5" s="185" t="s">
        <v>75</v>
      </c>
      <c r="C5" s="186"/>
      <c r="D5" s="187" t="s">
        <v>1472</v>
      </c>
      <c r="E5" s="188">
        <f>E6</f>
        <v>0</v>
      </c>
      <c r="F5" s="188">
        <f>F6</f>
        <v>0</v>
      </c>
      <c r="G5" s="188">
        <f>G6</f>
        <v>0</v>
      </c>
      <c r="H5" s="188"/>
    </row>
    <row r="6" spans="1:8" s="193" customFormat="1" ht="15" hidden="1" customHeight="1" x14ac:dyDescent="0.25">
      <c r="A6" s="190"/>
      <c r="B6" s="1545" t="s">
        <v>153</v>
      </c>
      <c r="C6" s="1545"/>
      <c r="D6" s="191"/>
      <c r="E6" s="192"/>
      <c r="F6" s="192"/>
      <c r="G6" s="192"/>
      <c r="H6" s="192"/>
    </row>
    <row r="7" spans="1:8" s="189" customFormat="1" ht="15" x14ac:dyDescent="0.25">
      <c r="A7" s="184"/>
      <c r="B7" s="185" t="s">
        <v>76</v>
      </c>
      <c r="C7" s="186"/>
      <c r="D7" s="187" t="s">
        <v>1473</v>
      </c>
      <c r="E7" s="188">
        <f>E8+E9</f>
        <v>15400</v>
      </c>
      <c r="F7" s="188">
        <f>F8+F9</f>
        <v>74385</v>
      </c>
      <c r="G7" s="188">
        <f>G8</f>
        <v>0</v>
      </c>
      <c r="H7" s="188">
        <f t="shared" ref="H7:H80" si="0">G7/F7*100</f>
        <v>0</v>
      </c>
    </row>
    <row r="8" spans="1:8" ht="15" hidden="1" customHeight="1" x14ac:dyDescent="0.25">
      <c r="A8" s="190"/>
      <c r="B8" s="1536" t="s">
        <v>154</v>
      </c>
      <c r="C8" s="1536"/>
      <c r="D8" s="191" t="s">
        <v>1473</v>
      </c>
      <c r="E8" s="192"/>
      <c r="F8" s="192"/>
      <c r="G8" s="192"/>
      <c r="H8" s="192"/>
    </row>
    <row r="9" spans="1:8" s="189" customFormat="1" ht="15" customHeight="1" x14ac:dyDescent="0.25">
      <c r="A9" s="184"/>
      <c r="B9" s="185" t="s">
        <v>166</v>
      </c>
      <c r="C9" s="185"/>
      <c r="D9" s="187" t="s">
        <v>1562</v>
      </c>
      <c r="E9" s="196">
        <f>SUM(E10:E14)</f>
        <v>15400</v>
      </c>
      <c r="F9" s="196">
        <f>SUM(F10:F14)</f>
        <v>74385</v>
      </c>
      <c r="G9" s="188">
        <f>SUM(G10:G14)</f>
        <v>15505</v>
      </c>
      <c r="H9" s="196">
        <f t="shared" si="0"/>
        <v>20.84425623445587</v>
      </c>
    </row>
    <row r="10" spans="1:8" s="197" customFormat="1" ht="15" customHeight="1" x14ac:dyDescent="0.25">
      <c r="A10" s="190"/>
      <c r="B10" s="1543" t="s">
        <v>156</v>
      </c>
      <c r="C10" s="1543"/>
      <c r="D10" s="191" t="s">
        <v>157</v>
      </c>
      <c r="E10" s="192">
        <v>10000</v>
      </c>
      <c r="F10" s="192">
        <v>10000</v>
      </c>
      <c r="G10" s="192">
        <v>11105</v>
      </c>
      <c r="H10" s="192">
        <f t="shared" si="0"/>
        <v>111.05000000000001</v>
      </c>
    </row>
    <row r="11" spans="1:8" s="197" customFormat="1" ht="15" customHeight="1" x14ac:dyDescent="0.25">
      <c r="A11" s="190"/>
      <c r="B11" s="1543" t="s">
        <v>158</v>
      </c>
      <c r="C11" s="1543"/>
      <c r="D11" s="191" t="s">
        <v>159</v>
      </c>
      <c r="E11" s="192">
        <v>900</v>
      </c>
      <c r="F11" s="192">
        <v>900</v>
      </c>
      <c r="G11" s="192">
        <v>400</v>
      </c>
      <c r="H11" s="192"/>
    </row>
    <row r="12" spans="1:8" s="197" customFormat="1" ht="15" customHeight="1" x14ac:dyDescent="0.25">
      <c r="A12" s="190"/>
      <c r="B12" s="1543" t="s">
        <v>160</v>
      </c>
      <c r="C12" s="1543"/>
      <c r="D12" s="191" t="s">
        <v>161</v>
      </c>
      <c r="E12" s="192">
        <v>3000</v>
      </c>
      <c r="F12" s="192">
        <v>3000</v>
      </c>
      <c r="G12" s="192">
        <v>3000</v>
      </c>
      <c r="H12" s="192">
        <f t="shared" si="0"/>
        <v>100</v>
      </c>
    </row>
    <row r="13" spans="1:8" s="197" customFormat="1" ht="15" customHeight="1" x14ac:dyDescent="0.25">
      <c r="A13" s="190"/>
      <c r="B13" s="1543" t="s">
        <v>162</v>
      </c>
      <c r="C13" s="1543"/>
      <c r="D13" s="191" t="s">
        <v>163</v>
      </c>
      <c r="E13" s="744">
        <v>1500</v>
      </c>
      <c r="F13" s="192"/>
      <c r="G13" s="192">
        <v>1000</v>
      </c>
      <c r="H13" s="192"/>
    </row>
    <row r="14" spans="1:8" s="197" customFormat="1" ht="15" customHeight="1" x14ac:dyDescent="0.25">
      <c r="A14" s="190"/>
      <c r="B14" s="1543" t="s">
        <v>164</v>
      </c>
      <c r="C14" s="1543"/>
      <c r="D14" s="191" t="s">
        <v>165</v>
      </c>
      <c r="E14" s="192"/>
      <c r="F14" s="192">
        <v>60485</v>
      </c>
      <c r="G14" s="192"/>
      <c r="H14" s="192">
        <f t="shared" si="0"/>
        <v>0</v>
      </c>
    </row>
    <row r="15" spans="1:8" s="189" customFormat="1" ht="15" x14ac:dyDescent="0.25">
      <c r="A15" s="184"/>
      <c r="B15" s="185" t="s">
        <v>175</v>
      </c>
      <c r="C15" s="186"/>
      <c r="D15" s="187" t="s">
        <v>1563</v>
      </c>
      <c r="E15" s="188">
        <f>E16+E24</f>
        <v>50803</v>
      </c>
      <c r="F15" s="188">
        <f>F16+F24</f>
        <v>50803</v>
      </c>
      <c r="G15" s="188">
        <f>G16+G24</f>
        <v>52350</v>
      </c>
      <c r="H15" s="188">
        <f t="shared" si="0"/>
        <v>103.04509576206129</v>
      </c>
    </row>
    <row r="16" spans="1:8" s="189" customFormat="1" ht="15" x14ac:dyDescent="0.25">
      <c r="A16" s="184"/>
      <c r="B16" s="198" t="s">
        <v>1565</v>
      </c>
      <c r="C16" s="199"/>
      <c r="D16" s="195" t="s">
        <v>1033</v>
      </c>
      <c r="E16" s="196">
        <f>SUM(E17,E23)</f>
        <v>49503</v>
      </c>
      <c r="F16" s="196">
        <f>SUM(F17,F23)</f>
        <v>49503</v>
      </c>
      <c r="G16" s="196">
        <f>SUM(G17,G23)</f>
        <v>51050</v>
      </c>
      <c r="H16" s="196">
        <f t="shared" si="0"/>
        <v>103.12506312748721</v>
      </c>
    </row>
    <row r="17" spans="1:8" ht="15" customHeight="1" x14ac:dyDescent="0.25">
      <c r="A17" s="190"/>
      <c r="B17" s="1536" t="s">
        <v>167</v>
      </c>
      <c r="C17" s="1536"/>
      <c r="D17" s="195" t="s">
        <v>168</v>
      </c>
      <c r="E17" s="196">
        <f>SUM(E18:E23)</f>
        <v>49503</v>
      </c>
      <c r="F17" s="196">
        <f>SUM(F18:F22)</f>
        <v>49503</v>
      </c>
      <c r="G17" s="196">
        <f>SUM(G18:G22)</f>
        <v>51050</v>
      </c>
      <c r="H17" s="196">
        <f t="shared" si="0"/>
        <v>103.12506312748721</v>
      </c>
    </row>
    <row r="18" spans="1:8" ht="15" customHeight="1" x14ac:dyDescent="0.25">
      <c r="A18" s="190"/>
      <c r="B18" s="1540" t="s">
        <v>169</v>
      </c>
      <c r="C18" s="1540"/>
      <c r="D18" s="191" t="s">
        <v>170</v>
      </c>
      <c r="E18" s="192">
        <v>7000</v>
      </c>
      <c r="F18" s="192">
        <v>7000</v>
      </c>
      <c r="G18" s="249">
        <v>7000</v>
      </c>
      <c r="H18" s="192">
        <f t="shared" si="0"/>
        <v>100</v>
      </c>
    </row>
    <row r="19" spans="1:8" ht="15" customHeight="1" x14ac:dyDescent="0.25">
      <c r="A19" s="190"/>
      <c r="B19" s="1540" t="s">
        <v>171</v>
      </c>
      <c r="C19" s="1540"/>
      <c r="D19" s="191" t="s">
        <v>1034</v>
      </c>
      <c r="E19" s="192">
        <v>40497</v>
      </c>
      <c r="F19" s="192">
        <v>40497</v>
      </c>
      <c r="G19" s="192">
        <v>42000</v>
      </c>
      <c r="H19" s="192">
        <f t="shared" si="0"/>
        <v>103.71138602859472</v>
      </c>
    </row>
    <row r="20" spans="1:8" ht="15" customHeight="1" x14ac:dyDescent="0.25">
      <c r="A20" s="190"/>
      <c r="B20" s="1540" t="s">
        <v>173</v>
      </c>
      <c r="C20" s="1540"/>
      <c r="D20" s="191" t="s">
        <v>1048</v>
      </c>
      <c r="E20" s="192">
        <v>1000</v>
      </c>
      <c r="F20" s="192">
        <v>1000</v>
      </c>
      <c r="G20" s="249">
        <v>1000</v>
      </c>
      <c r="H20" s="192">
        <f t="shared" si="0"/>
        <v>100</v>
      </c>
    </row>
    <row r="21" spans="1:8" ht="15" customHeight="1" x14ac:dyDescent="0.25">
      <c r="A21" s="190"/>
      <c r="B21" s="1540" t="s">
        <v>1046</v>
      </c>
      <c r="C21" s="1540"/>
      <c r="D21" s="191" t="s">
        <v>1049</v>
      </c>
      <c r="E21" s="192">
        <v>150</v>
      </c>
      <c r="F21" s="192">
        <v>150</v>
      </c>
      <c r="G21" s="249">
        <v>150</v>
      </c>
      <c r="H21" s="192">
        <f t="shared" si="0"/>
        <v>100</v>
      </c>
    </row>
    <row r="22" spans="1:8" ht="15" customHeight="1" x14ac:dyDescent="0.25">
      <c r="A22" s="190"/>
      <c r="B22" s="1540" t="s">
        <v>1047</v>
      </c>
      <c r="C22" s="1540"/>
      <c r="D22" s="191" t="s">
        <v>1050</v>
      </c>
      <c r="E22" s="192">
        <v>856</v>
      </c>
      <c r="F22" s="192">
        <v>856</v>
      </c>
      <c r="G22" s="249">
        <v>900</v>
      </c>
      <c r="H22" s="192">
        <f t="shared" si="0"/>
        <v>105.14018691588785</v>
      </c>
    </row>
    <row r="23" spans="1:8" ht="15" hidden="1" x14ac:dyDescent="0.25">
      <c r="A23" s="190"/>
      <c r="B23" s="1541"/>
      <c r="C23" s="1542"/>
      <c r="D23" s="195"/>
      <c r="E23" s="196"/>
      <c r="F23" s="196"/>
      <c r="G23" s="248"/>
      <c r="H23" s="196"/>
    </row>
    <row r="24" spans="1:8" ht="15" x14ac:dyDescent="0.25">
      <c r="A24" s="184"/>
      <c r="B24" s="185" t="s">
        <v>1566</v>
      </c>
      <c r="C24" s="199"/>
      <c r="D24" s="195" t="s">
        <v>1019</v>
      </c>
      <c r="E24" s="196">
        <v>1300</v>
      </c>
      <c r="F24" s="196">
        <v>1300</v>
      </c>
      <c r="G24" s="248">
        <v>1300</v>
      </c>
      <c r="H24" s="196">
        <f t="shared" si="0"/>
        <v>100</v>
      </c>
    </row>
    <row r="25" spans="1:8" s="189" customFormat="1" ht="15" x14ac:dyDescent="0.25">
      <c r="A25" s="184"/>
      <c r="B25" s="185" t="s">
        <v>177</v>
      </c>
      <c r="C25" s="186"/>
      <c r="D25" s="187" t="s">
        <v>176</v>
      </c>
      <c r="E25" s="188"/>
      <c r="F25" s="188">
        <v>5836</v>
      </c>
      <c r="G25" s="1123">
        <v>0</v>
      </c>
      <c r="H25" s="188">
        <f t="shared" si="0"/>
        <v>0</v>
      </c>
    </row>
    <row r="26" spans="1:8" s="189" customFormat="1" ht="15" x14ac:dyDescent="0.25">
      <c r="A26" s="184"/>
      <c r="B26" s="185" t="s">
        <v>769</v>
      </c>
      <c r="C26" s="186"/>
      <c r="D26" s="187" t="s">
        <v>1477</v>
      </c>
      <c r="E26" s="188">
        <v>11476</v>
      </c>
      <c r="F26" s="188">
        <v>23800</v>
      </c>
      <c r="G26" s="1123">
        <v>14070</v>
      </c>
      <c r="H26" s="188">
        <f t="shared" si="0"/>
        <v>59.117647058823529</v>
      </c>
    </row>
    <row r="27" spans="1:8" s="189" customFormat="1" ht="15" x14ac:dyDescent="0.25">
      <c r="A27" s="184"/>
      <c r="B27" s="185" t="s">
        <v>179</v>
      </c>
      <c r="C27" s="186"/>
      <c r="D27" s="187" t="s">
        <v>1478</v>
      </c>
      <c r="E27" s="188"/>
      <c r="F27" s="188"/>
      <c r="G27" s="1123">
        <v>0</v>
      </c>
      <c r="H27" s="188"/>
    </row>
    <row r="28" spans="1:8" s="189" customFormat="1" ht="15" x14ac:dyDescent="0.25">
      <c r="A28" s="184"/>
      <c r="B28" s="185" t="s">
        <v>1272</v>
      </c>
      <c r="C28" s="186"/>
      <c r="D28" s="187" t="s">
        <v>1564</v>
      </c>
      <c r="E28" s="188"/>
      <c r="F28" s="188"/>
      <c r="G28" s="1123">
        <v>0</v>
      </c>
      <c r="H28" s="188"/>
    </row>
    <row r="29" spans="1:8" s="183" customFormat="1" ht="16.5" x14ac:dyDescent="0.25">
      <c r="A29" s="178"/>
      <c r="B29" s="179" t="s">
        <v>52</v>
      </c>
      <c r="C29" s="180"/>
      <c r="D29" s="181" t="s">
        <v>85</v>
      </c>
      <c r="E29" s="182">
        <f>SUM(E30+E46+E51+E52+E53+E54)</f>
        <v>1625000</v>
      </c>
      <c r="F29" s="182">
        <f>SUM(F30+F46+F51+F52+F53+F54)</f>
        <v>1685336</v>
      </c>
      <c r="G29" s="1121">
        <f>SUM(G30+G32)+G40</f>
        <v>1610000</v>
      </c>
      <c r="H29" s="182">
        <f t="shared" si="0"/>
        <v>95.529912136214975</v>
      </c>
    </row>
    <row r="30" spans="1:8" s="189" customFormat="1" ht="15" x14ac:dyDescent="0.25">
      <c r="A30" s="184"/>
      <c r="B30" s="185" t="s">
        <v>77</v>
      </c>
      <c r="C30" s="186"/>
      <c r="D30" s="187" t="s">
        <v>1567</v>
      </c>
      <c r="E30" s="188">
        <f>SUM(E31:E45)</f>
        <v>1525000</v>
      </c>
      <c r="F30" s="188">
        <f>SUM(F31:F45)</f>
        <v>1583836</v>
      </c>
      <c r="G30" s="1123">
        <f>SUM(G31)</f>
        <v>260000</v>
      </c>
      <c r="H30" s="188">
        <f t="shared" si="0"/>
        <v>16.415841034046455</v>
      </c>
    </row>
    <row r="31" spans="1:8" ht="15" customHeight="1" x14ac:dyDescent="0.25">
      <c r="A31" s="190"/>
      <c r="B31" s="1536" t="s">
        <v>180</v>
      </c>
      <c r="C31" s="1536"/>
      <c r="D31" s="191" t="s">
        <v>181</v>
      </c>
      <c r="E31" s="744">
        <v>260000</v>
      </c>
      <c r="F31" s="192">
        <v>260000</v>
      </c>
      <c r="G31" s="249">
        <v>260000</v>
      </c>
      <c r="H31" s="192">
        <f t="shared" si="0"/>
        <v>100</v>
      </c>
    </row>
    <row r="32" spans="1:8" ht="15" customHeight="1" x14ac:dyDescent="0.25">
      <c r="A32" s="1259"/>
      <c r="B32" s="185" t="s">
        <v>78</v>
      </c>
      <c r="C32" s="1260"/>
      <c r="D32" s="187" t="s">
        <v>1568</v>
      </c>
      <c r="E32" s="1261"/>
      <c r="F32" s="1262"/>
      <c r="G32" s="1123">
        <f>SUM(G33+G35+G37)</f>
        <v>1335000</v>
      </c>
      <c r="H32" s="1262"/>
    </row>
    <row r="33" spans="1:8" ht="15" customHeight="1" x14ac:dyDescent="0.25">
      <c r="A33" s="1259"/>
      <c r="B33" s="1269" t="s">
        <v>1572</v>
      </c>
      <c r="C33" s="1260"/>
      <c r="D33" s="1267" t="s">
        <v>1569</v>
      </c>
      <c r="E33" s="1261"/>
      <c r="F33" s="1262"/>
      <c r="G33" s="1263">
        <f>SUM(G34)</f>
        <v>1250000</v>
      </c>
      <c r="H33" s="1262"/>
    </row>
    <row r="34" spans="1:8" ht="15" customHeight="1" x14ac:dyDescent="0.25">
      <c r="A34" s="190"/>
      <c r="B34" s="1539" t="s">
        <v>1573</v>
      </c>
      <c r="C34" s="1539"/>
      <c r="D34" s="1268" t="s">
        <v>182</v>
      </c>
      <c r="E34" s="744">
        <v>1250000</v>
      </c>
      <c r="F34" s="192">
        <v>1308836</v>
      </c>
      <c r="G34" s="248">
        <v>1250000</v>
      </c>
      <c r="H34" s="192">
        <f t="shared" si="0"/>
        <v>95.504708000085571</v>
      </c>
    </row>
    <row r="35" spans="1:8" ht="15" customHeight="1" x14ac:dyDescent="0.25">
      <c r="A35" s="1259"/>
      <c r="B35" s="1269" t="s">
        <v>183</v>
      </c>
      <c r="C35" s="1260"/>
      <c r="D35" s="1267" t="s">
        <v>1570</v>
      </c>
      <c r="E35" s="1261"/>
      <c r="F35" s="1262"/>
      <c r="G35" s="1263">
        <f>SUM(G36)</f>
        <v>75000</v>
      </c>
      <c r="H35" s="1262"/>
    </row>
    <row r="36" spans="1:8" ht="15" customHeight="1" x14ac:dyDescent="0.25">
      <c r="A36" s="1259"/>
      <c r="B36" s="1270" t="s">
        <v>1574</v>
      </c>
      <c r="C36" s="1260"/>
      <c r="D36" s="1268" t="s">
        <v>1571</v>
      </c>
      <c r="E36" s="1261"/>
      <c r="F36" s="1262"/>
      <c r="G36" s="1266">
        <v>75000</v>
      </c>
      <c r="H36" s="1262"/>
    </row>
    <row r="37" spans="1:8" ht="15" customHeight="1" x14ac:dyDescent="0.25">
      <c r="A37" s="1259"/>
      <c r="B37" s="1269" t="s">
        <v>184</v>
      </c>
      <c r="C37" s="1269"/>
      <c r="D37" s="1267" t="s">
        <v>1575</v>
      </c>
      <c r="E37" s="1261"/>
      <c r="F37" s="1262"/>
      <c r="G37" s="1263">
        <f>SUM(G38:G39)</f>
        <v>10000</v>
      </c>
      <c r="H37" s="1262"/>
    </row>
    <row r="38" spans="1:8" ht="15" customHeight="1" x14ac:dyDescent="0.25">
      <c r="A38" s="1259"/>
      <c r="B38" s="1269" t="s">
        <v>1580</v>
      </c>
      <c r="C38" s="1269"/>
      <c r="D38" s="1268" t="s">
        <v>1576</v>
      </c>
      <c r="E38" s="1261"/>
      <c r="F38" s="1262"/>
      <c r="G38" s="1266">
        <v>10000</v>
      </c>
      <c r="H38" s="1262"/>
    </row>
    <row r="39" spans="1:8" ht="15" customHeight="1" x14ac:dyDescent="0.25">
      <c r="A39" s="1259"/>
      <c r="B39" s="1269" t="s">
        <v>1581</v>
      </c>
      <c r="C39" s="1269"/>
      <c r="D39" s="1268" t="s">
        <v>1577</v>
      </c>
      <c r="E39" s="1261"/>
      <c r="F39" s="1262"/>
      <c r="G39" s="1263"/>
      <c r="H39" s="1262"/>
    </row>
    <row r="40" spans="1:8" ht="15" customHeight="1" x14ac:dyDescent="0.25">
      <c r="A40" s="1259"/>
      <c r="B40" s="185" t="s">
        <v>185</v>
      </c>
      <c r="C40" s="1269"/>
      <c r="D40" s="187" t="s">
        <v>1578</v>
      </c>
      <c r="E40" s="1261"/>
      <c r="F40" s="1262"/>
      <c r="G40" s="1123">
        <f>SUM(G41)</f>
        <v>15000</v>
      </c>
      <c r="H40" s="1262"/>
    </row>
    <row r="41" spans="1:8" ht="15" customHeight="1" x14ac:dyDescent="0.25">
      <c r="A41" s="1259"/>
      <c r="B41" s="1269" t="s">
        <v>1582</v>
      </c>
      <c r="C41" s="1269"/>
      <c r="D41" s="1268" t="s">
        <v>1579</v>
      </c>
      <c r="E41" s="1261"/>
      <c r="F41" s="1262"/>
      <c r="G41" s="1263">
        <v>15000</v>
      </c>
      <c r="H41" s="1262"/>
    </row>
    <row r="42" spans="1:8" ht="15" hidden="1" customHeight="1" x14ac:dyDescent="0.25">
      <c r="A42" s="190"/>
      <c r="B42" s="1536"/>
      <c r="C42" s="1536"/>
      <c r="D42" s="191"/>
      <c r="E42" s="745"/>
      <c r="F42" s="202"/>
      <c r="G42" s="1263"/>
      <c r="H42" s="202"/>
    </row>
    <row r="43" spans="1:8" ht="15" hidden="1" customHeight="1" x14ac:dyDescent="0.25">
      <c r="A43" s="190"/>
      <c r="B43" s="1536"/>
      <c r="C43" s="1536"/>
      <c r="D43" s="191"/>
      <c r="E43" s="744"/>
      <c r="F43" s="192"/>
      <c r="G43" s="249"/>
      <c r="H43" s="192"/>
    </row>
    <row r="44" spans="1:8" ht="15" hidden="1" customHeight="1" x14ac:dyDescent="0.25">
      <c r="A44" s="190"/>
      <c r="B44" s="1536"/>
      <c r="C44" s="1536"/>
      <c r="D44" s="191"/>
      <c r="E44" s="744">
        <v>10000</v>
      </c>
      <c r="F44" s="192">
        <v>10000</v>
      </c>
      <c r="G44" s="249"/>
      <c r="H44" s="192">
        <f t="shared" si="0"/>
        <v>0</v>
      </c>
    </row>
    <row r="45" spans="1:8" ht="15" hidden="1" customHeight="1" x14ac:dyDescent="0.25">
      <c r="A45" s="190"/>
      <c r="B45" s="1536"/>
      <c r="C45" s="1536"/>
      <c r="D45" s="191"/>
      <c r="E45" s="744">
        <v>5000</v>
      </c>
      <c r="F45" s="192">
        <v>5000</v>
      </c>
      <c r="G45" s="249"/>
      <c r="H45" s="192">
        <f t="shared" si="0"/>
        <v>0</v>
      </c>
    </row>
    <row r="46" spans="1:8" s="189" customFormat="1" ht="15" hidden="1" x14ac:dyDescent="0.25">
      <c r="A46" s="184"/>
      <c r="B46" s="185"/>
      <c r="C46" s="186"/>
      <c r="D46" s="187"/>
      <c r="E46" s="746">
        <f>SUM(E47:E50)</f>
        <v>100000</v>
      </c>
      <c r="F46" s="188">
        <f>SUM(F47:F50)</f>
        <v>100000</v>
      </c>
      <c r="G46" s="1123">
        <f>SUM(G47:G50)</f>
        <v>0</v>
      </c>
      <c r="H46" s="188">
        <f t="shared" si="0"/>
        <v>0</v>
      </c>
    </row>
    <row r="47" spans="1:8" ht="15" hidden="1" customHeight="1" x14ac:dyDescent="0.25">
      <c r="A47" s="190"/>
      <c r="B47" s="1536"/>
      <c r="C47" s="1536"/>
      <c r="D47" s="191"/>
      <c r="E47" s="744">
        <v>100000</v>
      </c>
      <c r="F47" s="192">
        <v>100000</v>
      </c>
      <c r="G47" s="249"/>
      <c r="H47" s="192">
        <f t="shared" si="0"/>
        <v>0</v>
      </c>
    </row>
    <row r="48" spans="1:8" ht="15" hidden="1" customHeight="1" x14ac:dyDescent="0.25">
      <c r="A48" s="172"/>
      <c r="B48" s="1536"/>
      <c r="C48" s="1536"/>
      <c r="D48" s="191"/>
      <c r="E48" s="744"/>
      <c r="F48" s="192"/>
      <c r="G48" s="249"/>
      <c r="H48" s="192" t="e">
        <f t="shared" si="0"/>
        <v>#DIV/0!</v>
      </c>
    </row>
    <row r="49" spans="1:8" ht="15" hidden="1" customHeight="1" x14ac:dyDescent="0.25">
      <c r="A49" s="172"/>
      <c r="B49" s="1536"/>
      <c r="C49" s="1536"/>
      <c r="D49" s="191"/>
      <c r="E49" s="744"/>
      <c r="F49" s="192"/>
      <c r="G49" s="249"/>
      <c r="H49" s="192" t="e">
        <f t="shared" si="0"/>
        <v>#DIV/0!</v>
      </c>
    </row>
    <row r="50" spans="1:8" ht="15" hidden="1" customHeight="1" x14ac:dyDescent="0.25">
      <c r="A50" s="190"/>
      <c r="B50" s="1536"/>
      <c r="C50" s="1536"/>
      <c r="D50" s="191"/>
      <c r="E50" s="744"/>
      <c r="F50" s="192"/>
      <c r="G50" s="249"/>
      <c r="H50" s="192" t="e">
        <f t="shared" si="0"/>
        <v>#DIV/0!</v>
      </c>
    </row>
    <row r="51" spans="1:8" s="189" customFormat="1" ht="15" hidden="1" x14ac:dyDescent="0.25">
      <c r="A51" s="184"/>
      <c r="B51" s="185"/>
      <c r="C51" s="186"/>
      <c r="D51" s="187"/>
      <c r="E51" s="188"/>
      <c r="F51" s="188">
        <v>1500</v>
      </c>
      <c r="G51" s="1123"/>
      <c r="H51" s="188"/>
    </row>
    <row r="52" spans="1:8" s="189" customFormat="1" ht="15" hidden="1" x14ac:dyDescent="0.25">
      <c r="A52" s="184"/>
      <c r="B52" s="185"/>
      <c r="C52" s="186"/>
      <c r="D52" s="187"/>
      <c r="E52" s="188"/>
      <c r="F52" s="188"/>
      <c r="G52" s="1123"/>
      <c r="H52" s="188"/>
    </row>
    <row r="53" spans="1:8" s="189" customFormat="1" ht="15" hidden="1" x14ac:dyDescent="0.25">
      <c r="A53" s="184"/>
      <c r="B53" s="185"/>
      <c r="C53" s="186"/>
      <c r="D53" s="187"/>
      <c r="E53" s="188"/>
      <c r="F53" s="188"/>
      <c r="G53" s="1123"/>
      <c r="H53" s="188"/>
    </row>
    <row r="54" spans="1:8" s="189" customFormat="1" ht="15" hidden="1" x14ac:dyDescent="0.25">
      <c r="A54" s="184"/>
      <c r="B54" s="185"/>
      <c r="C54" s="186"/>
      <c r="D54" s="187"/>
      <c r="E54" s="188">
        <f>SUM(E55)</f>
        <v>0</v>
      </c>
      <c r="F54" s="188">
        <f>SUM(F55)</f>
        <v>0</v>
      </c>
      <c r="G54" s="1123">
        <f>SUM(G55)</f>
        <v>0</v>
      </c>
      <c r="H54" s="188"/>
    </row>
    <row r="55" spans="1:8" s="189" customFormat="1" ht="15.75" hidden="1" thickBot="1" x14ac:dyDescent="0.3">
      <c r="A55" s="718"/>
      <c r="B55" s="719"/>
      <c r="C55" s="720"/>
      <c r="D55" s="721"/>
      <c r="E55" s="722">
        <v>0</v>
      </c>
      <c r="F55" s="722">
        <v>0</v>
      </c>
      <c r="G55" s="1124"/>
      <c r="H55" s="722"/>
    </row>
    <row r="56" spans="1:8" s="183" customFormat="1" ht="31.5" customHeight="1" x14ac:dyDescent="0.25">
      <c r="A56" s="715"/>
      <c r="B56" s="1271" t="s">
        <v>54</v>
      </c>
      <c r="C56" s="716"/>
      <c r="D56" s="1273" t="s">
        <v>1527</v>
      </c>
      <c r="E56" s="717">
        <f>SUM(E58+E59+E76+E68+E79)</f>
        <v>526670</v>
      </c>
      <c r="F56" s="717">
        <f>SUM(F58+F59+F76+F68+F79)</f>
        <v>598523</v>
      </c>
      <c r="G56" s="1272">
        <f>SUM(G57+G80)</f>
        <v>573174</v>
      </c>
      <c r="H56" s="717">
        <f t="shared" si="0"/>
        <v>95.764740870442751</v>
      </c>
    </row>
    <row r="57" spans="1:8" s="183" customFormat="1" ht="17.25" customHeight="1" x14ac:dyDescent="0.25">
      <c r="A57" s="1274"/>
      <c r="B57" s="1278" t="s">
        <v>186</v>
      </c>
      <c r="C57" s="1275"/>
      <c r="D57" s="236" t="s">
        <v>1583</v>
      </c>
      <c r="E57" s="1276"/>
      <c r="F57" s="1276"/>
      <c r="G57" s="1279">
        <f>SUM(G58:G68)</f>
        <v>564925</v>
      </c>
      <c r="H57" s="1276"/>
    </row>
    <row r="58" spans="1:8" s="189" customFormat="1" ht="15" x14ac:dyDescent="0.25">
      <c r="A58" s="184"/>
      <c r="B58" s="185" t="s">
        <v>279</v>
      </c>
      <c r="C58" s="186"/>
      <c r="D58" s="1267" t="s">
        <v>1035</v>
      </c>
      <c r="E58" s="188">
        <v>517641</v>
      </c>
      <c r="F58" s="188">
        <v>589494</v>
      </c>
      <c r="G58" s="1123">
        <v>553794</v>
      </c>
      <c r="H58" s="188">
        <f t="shared" si="0"/>
        <v>93.943958717137065</v>
      </c>
    </row>
    <row r="59" spans="1:8" s="189" customFormat="1" ht="15" hidden="1" x14ac:dyDescent="0.25">
      <c r="A59" s="184"/>
      <c r="B59" s="185" t="s">
        <v>187</v>
      </c>
      <c r="C59" s="186"/>
      <c r="D59" s="187" t="s">
        <v>188</v>
      </c>
      <c r="E59" s="188">
        <f>SUM(E60:E66)</f>
        <v>0</v>
      </c>
      <c r="F59" s="188">
        <f>SUM(F60:F67)</f>
        <v>0</v>
      </c>
      <c r="G59" s="1123"/>
      <c r="H59" s="188" t="e">
        <f t="shared" si="0"/>
        <v>#DIV/0!</v>
      </c>
    </row>
    <row r="60" spans="1:8" ht="15" hidden="1" customHeight="1" x14ac:dyDescent="0.25">
      <c r="A60" s="190"/>
      <c r="B60" s="1536" t="s">
        <v>189</v>
      </c>
      <c r="C60" s="1536"/>
      <c r="D60" s="191" t="s">
        <v>190</v>
      </c>
      <c r="E60" s="192"/>
      <c r="F60" s="192"/>
      <c r="G60" s="249"/>
      <c r="H60" s="192" t="e">
        <f t="shared" si="0"/>
        <v>#DIV/0!</v>
      </c>
    </row>
    <row r="61" spans="1:8" ht="15" hidden="1" customHeight="1" x14ac:dyDescent="0.25">
      <c r="A61" s="190"/>
      <c r="B61" s="1536" t="s">
        <v>191</v>
      </c>
      <c r="C61" s="1536"/>
      <c r="D61" s="191" t="s">
        <v>192</v>
      </c>
      <c r="E61" s="192"/>
      <c r="F61" s="192"/>
      <c r="G61" s="249"/>
      <c r="H61" s="192" t="e">
        <f t="shared" si="0"/>
        <v>#DIV/0!</v>
      </c>
    </row>
    <row r="62" spans="1:8" ht="15" hidden="1" customHeight="1" x14ac:dyDescent="0.25">
      <c r="A62" s="190"/>
      <c r="B62" s="1536" t="s">
        <v>193</v>
      </c>
      <c r="C62" s="1536"/>
      <c r="D62" s="191" t="s">
        <v>194</v>
      </c>
      <c r="E62" s="192"/>
      <c r="F62" s="192"/>
      <c r="G62" s="249"/>
      <c r="H62" s="192" t="e">
        <f t="shared" si="0"/>
        <v>#DIV/0!</v>
      </c>
    </row>
    <row r="63" spans="1:8" ht="15" hidden="1" customHeight="1" x14ac:dyDescent="0.25">
      <c r="A63" s="190"/>
      <c r="B63" s="1536" t="s">
        <v>195</v>
      </c>
      <c r="C63" s="1536"/>
      <c r="D63" s="191" t="s">
        <v>196</v>
      </c>
      <c r="E63" s="192"/>
      <c r="F63" s="192"/>
      <c r="G63" s="249"/>
      <c r="H63" s="192" t="e">
        <f t="shared" si="0"/>
        <v>#DIV/0!</v>
      </c>
    </row>
    <row r="64" spans="1:8" ht="15" hidden="1" customHeight="1" x14ac:dyDescent="0.25">
      <c r="A64" s="190"/>
      <c r="B64" s="1536" t="s">
        <v>197</v>
      </c>
      <c r="C64" s="1536"/>
      <c r="D64" s="191" t="s">
        <v>198</v>
      </c>
      <c r="E64" s="192"/>
      <c r="F64" s="192"/>
      <c r="G64" s="249"/>
      <c r="H64" s="192" t="e">
        <f t="shared" si="0"/>
        <v>#DIV/0!</v>
      </c>
    </row>
    <row r="65" spans="1:12" ht="15" hidden="1" customHeight="1" x14ac:dyDescent="0.25">
      <c r="A65" s="190"/>
      <c r="B65" s="1536" t="s">
        <v>199</v>
      </c>
      <c r="C65" s="1536"/>
      <c r="D65" s="191" t="s">
        <v>200</v>
      </c>
      <c r="E65" s="192"/>
      <c r="F65" s="192"/>
      <c r="G65" s="249"/>
      <c r="H65" s="192" t="e">
        <f t="shared" si="0"/>
        <v>#DIV/0!</v>
      </c>
    </row>
    <row r="66" spans="1:12" ht="15" hidden="1" customHeight="1" x14ac:dyDescent="0.25">
      <c r="A66" s="190"/>
      <c r="B66" s="1536" t="s">
        <v>201</v>
      </c>
      <c r="C66" s="1536"/>
      <c r="D66" s="191" t="s">
        <v>202</v>
      </c>
      <c r="E66" s="192"/>
      <c r="F66" s="192"/>
      <c r="G66" s="249"/>
      <c r="H66" s="192" t="e">
        <f t="shared" si="0"/>
        <v>#DIV/0!</v>
      </c>
    </row>
    <row r="67" spans="1:12" ht="15" hidden="1" customHeight="1" x14ac:dyDescent="0.25">
      <c r="A67" s="190"/>
      <c r="B67" s="1536" t="s">
        <v>203</v>
      </c>
      <c r="C67" s="1536"/>
      <c r="D67" s="191" t="s">
        <v>204</v>
      </c>
      <c r="E67" s="192">
        <v>0</v>
      </c>
      <c r="F67" s="192"/>
      <c r="G67" s="249"/>
      <c r="H67" s="192" t="e">
        <f t="shared" si="0"/>
        <v>#DIV/0!</v>
      </c>
    </row>
    <row r="68" spans="1:12" s="189" customFormat="1" ht="15" x14ac:dyDescent="0.25">
      <c r="A68" s="184"/>
      <c r="B68" s="185" t="s">
        <v>590</v>
      </c>
      <c r="C68" s="186"/>
      <c r="D68" s="1267" t="s">
        <v>205</v>
      </c>
      <c r="E68" s="188">
        <v>9029</v>
      </c>
      <c r="F68" s="188">
        <v>9029</v>
      </c>
      <c r="G68" s="1123">
        <v>11131</v>
      </c>
      <c r="H68" s="188">
        <f t="shared" si="0"/>
        <v>123.28054048067338</v>
      </c>
      <c r="L68" s="243">
        <f>SUM(G58:G68)</f>
        <v>564925</v>
      </c>
    </row>
    <row r="69" spans="1:12" ht="15" hidden="1" customHeight="1" x14ac:dyDescent="0.25">
      <c r="A69" s="172"/>
      <c r="B69" s="1536" t="s">
        <v>206</v>
      </c>
      <c r="C69" s="1536"/>
      <c r="D69" s="191" t="s">
        <v>207</v>
      </c>
      <c r="E69" s="192"/>
      <c r="F69" s="192"/>
      <c r="G69" s="249"/>
      <c r="H69" s="192" t="e">
        <f t="shared" si="0"/>
        <v>#DIV/0!</v>
      </c>
    </row>
    <row r="70" spans="1:12" ht="15" hidden="1" customHeight="1" x14ac:dyDescent="0.25">
      <c r="A70" s="172"/>
      <c r="B70" s="1536" t="s">
        <v>208</v>
      </c>
      <c r="C70" s="1536"/>
      <c r="D70" s="203" t="s">
        <v>209</v>
      </c>
      <c r="E70" s="192"/>
      <c r="F70" s="192"/>
      <c r="G70" s="249"/>
      <c r="H70" s="192" t="e">
        <f t="shared" si="0"/>
        <v>#DIV/0!</v>
      </c>
    </row>
    <row r="71" spans="1:12" ht="15" hidden="1" customHeight="1" x14ac:dyDescent="0.25">
      <c r="A71" s="172"/>
      <c r="B71" s="1536" t="s">
        <v>210</v>
      </c>
      <c r="C71" s="1536"/>
      <c r="D71" s="203" t="s">
        <v>211</v>
      </c>
      <c r="E71" s="192"/>
      <c r="F71" s="192"/>
      <c r="G71" s="249"/>
      <c r="H71" s="192" t="e">
        <f t="shared" si="0"/>
        <v>#DIV/0!</v>
      </c>
    </row>
    <row r="72" spans="1:12" ht="16.5" hidden="1" customHeight="1" x14ac:dyDescent="0.25">
      <c r="A72" s="172"/>
      <c r="B72" s="173"/>
      <c r="C72" s="200" t="s">
        <v>212</v>
      </c>
      <c r="D72" s="203" t="s">
        <v>213</v>
      </c>
      <c r="E72" s="192"/>
      <c r="F72" s="192"/>
      <c r="G72" s="249"/>
      <c r="H72" s="192" t="e">
        <f t="shared" si="0"/>
        <v>#DIV/0!</v>
      </c>
    </row>
    <row r="73" spans="1:12" ht="14.25" hidden="1" customHeight="1" x14ac:dyDescent="0.25">
      <c r="A73" s="172"/>
      <c r="B73" s="173"/>
      <c r="C73" s="200" t="s">
        <v>214</v>
      </c>
      <c r="D73" s="203" t="s">
        <v>215</v>
      </c>
      <c r="E73" s="192"/>
      <c r="F73" s="192"/>
      <c r="G73" s="249"/>
      <c r="H73" s="192" t="e">
        <f t="shared" si="0"/>
        <v>#DIV/0!</v>
      </c>
    </row>
    <row r="74" spans="1:12" ht="14.25" hidden="1" customHeight="1" x14ac:dyDescent="0.25">
      <c r="A74" s="172"/>
      <c r="B74" s="173"/>
      <c r="C74" s="200" t="s">
        <v>216</v>
      </c>
      <c r="D74" s="203" t="s">
        <v>217</v>
      </c>
      <c r="E74" s="192"/>
      <c r="F74" s="192"/>
      <c r="G74" s="249"/>
      <c r="H74" s="192" t="e">
        <f t="shared" si="0"/>
        <v>#DIV/0!</v>
      </c>
    </row>
    <row r="75" spans="1:12" ht="14.25" hidden="1" customHeight="1" x14ac:dyDescent="0.25">
      <c r="A75" s="172"/>
      <c r="B75" s="1536" t="s">
        <v>218</v>
      </c>
      <c r="C75" s="1536"/>
      <c r="D75" s="203" t="s">
        <v>205</v>
      </c>
      <c r="E75" s="192"/>
      <c r="F75" s="192"/>
      <c r="G75" s="249"/>
      <c r="H75" s="192" t="e">
        <f t="shared" si="0"/>
        <v>#DIV/0!</v>
      </c>
    </row>
    <row r="76" spans="1:12" s="189" customFormat="1" ht="15" hidden="1" x14ac:dyDescent="0.25">
      <c r="A76" s="184"/>
      <c r="B76" s="185" t="s">
        <v>219</v>
      </c>
      <c r="C76" s="186"/>
      <c r="D76" s="187" t="s">
        <v>220</v>
      </c>
      <c r="E76" s="188"/>
      <c r="F76" s="188"/>
      <c r="G76" s="1123"/>
      <c r="H76" s="188" t="e">
        <f t="shared" si="0"/>
        <v>#DIV/0!</v>
      </c>
    </row>
    <row r="77" spans="1:12" ht="15" hidden="1" customHeight="1" x14ac:dyDescent="0.25">
      <c r="A77" s="172"/>
      <c r="B77" s="1536" t="s">
        <v>221</v>
      </c>
      <c r="C77" s="1536"/>
      <c r="D77" s="191" t="s">
        <v>222</v>
      </c>
      <c r="E77" s="192"/>
      <c r="F77" s="192"/>
      <c r="G77" s="249"/>
      <c r="H77" s="192" t="e">
        <f t="shared" si="0"/>
        <v>#DIV/0!</v>
      </c>
    </row>
    <row r="78" spans="1:12" ht="15" hidden="1" customHeight="1" x14ac:dyDescent="0.25">
      <c r="A78" s="172"/>
      <c r="B78" s="1539" t="s">
        <v>223</v>
      </c>
      <c r="C78" s="1539"/>
      <c r="D78" s="195" t="s">
        <v>224</v>
      </c>
      <c r="E78" s="196"/>
      <c r="F78" s="196"/>
      <c r="G78" s="248"/>
      <c r="H78" s="196" t="e">
        <f t="shared" si="0"/>
        <v>#DIV/0!</v>
      </c>
    </row>
    <row r="79" spans="1:12" s="189" customFormat="1" ht="15" x14ac:dyDescent="0.25">
      <c r="A79" s="184"/>
      <c r="B79" s="185"/>
      <c r="C79" s="186"/>
      <c r="D79" s="187"/>
      <c r="E79" s="188"/>
      <c r="F79" s="188"/>
      <c r="G79" s="1123"/>
      <c r="H79" s="188" t="e">
        <f t="shared" si="0"/>
        <v>#DIV/0!</v>
      </c>
    </row>
    <row r="80" spans="1:12" s="183" customFormat="1" ht="29.25" customHeight="1" x14ac:dyDescent="0.25">
      <c r="A80" s="178"/>
      <c r="B80" s="1278" t="s">
        <v>187</v>
      </c>
      <c r="C80" s="180"/>
      <c r="D80" s="1277" t="s">
        <v>1584</v>
      </c>
      <c r="E80" s="182">
        <f>E81+E91</f>
        <v>0</v>
      </c>
      <c r="F80" s="182">
        <f>F81+F82</f>
        <v>29960</v>
      </c>
      <c r="G80" s="281">
        <v>8249</v>
      </c>
      <c r="H80" s="182">
        <f t="shared" si="0"/>
        <v>27.533377837116156</v>
      </c>
    </row>
    <row r="81" spans="1:8" s="189" customFormat="1" ht="15" hidden="1" x14ac:dyDescent="0.25">
      <c r="A81" s="184"/>
      <c r="B81" s="185"/>
      <c r="C81" s="186"/>
      <c r="D81" s="187"/>
      <c r="E81" s="188">
        <f>SUM(E82)</f>
        <v>0</v>
      </c>
      <c r="F81" s="188"/>
      <c r="G81" s="1123"/>
      <c r="H81" s="188" t="e">
        <f t="shared" ref="H81:H149" si="1">G81/F81*100</f>
        <v>#DIV/0!</v>
      </c>
    </row>
    <row r="82" spans="1:8" s="189" customFormat="1" ht="15" hidden="1" x14ac:dyDescent="0.25">
      <c r="A82" s="184"/>
      <c r="B82" s="185"/>
      <c r="C82" s="199"/>
      <c r="D82" s="187"/>
      <c r="E82" s="196">
        <v>0</v>
      </c>
      <c r="F82" s="196">
        <f>SUM(F83:F90)</f>
        <v>29960</v>
      </c>
      <c r="G82" s="248"/>
      <c r="H82" s="196">
        <f t="shared" ref="H82" si="2">G82/F82*100</f>
        <v>0</v>
      </c>
    </row>
    <row r="83" spans="1:8" s="189" customFormat="1" ht="15" hidden="1" x14ac:dyDescent="0.25">
      <c r="A83" s="184"/>
      <c r="B83" s="185"/>
      <c r="C83" s="199"/>
      <c r="D83" s="204"/>
      <c r="E83" s="192"/>
      <c r="F83" s="192">
        <v>15721</v>
      </c>
      <c r="G83" s="249"/>
      <c r="H83" s="192">
        <f t="shared" si="1"/>
        <v>0</v>
      </c>
    </row>
    <row r="84" spans="1:8" s="189" customFormat="1" ht="15" hidden="1" x14ac:dyDescent="0.25">
      <c r="A84" s="184"/>
      <c r="B84" s="185"/>
      <c r="C84" s="199"/>
      <c r="D84" s="204"/>
      <c r="E84" s="192"/>
      <c r="F84" s="192">
        <v>175</v>
      </c>
      <c r="G84" s="249"/>
      <c r="H84" s="192">
        <f t="shared" si="1"/>
        <v>0</v>
      </c>
    </row>
    <row r="85" spans="1:8" s="189" customFormat="1" ht="15" hidden="1" x14ac:dyDescent="0.25">
      <c r="A85" s="184"/>
      <c r="B85" s="185"/>
      <c r="C85" s="199"/>
      <c r="D85" s="204"/>
      <c r="E85" s="192"/>
      <c r="F85" s="192">
        <v>50</v>
      </c>
      <c r="G85" s="249"/>
      <c r="H85" s="192">
        <f t="shared" si="1"/>
        <v>0</v>
      </c>
    </row>
    <row r="86" spans="1:8" s="189" customFormat="1" ht="15" hidden="1" x14ac:dyDescent="0.25">
      <c r="A86" s="184"/>
      <c r="B86" s="185"/>
      <c r="C86" s="199"/>
      <c r="D86" s="204"/>
      <c r="E86" s="192"/>
      <c r="F86" s="192">
        <v>14014</v>
      </c>
      <c r="G86" s="249"/>
      <c r="H86" s="192">
        <f t="shared" si="1"/>
        <v>0</v>
      </c>
    </row>
    <row r="87" spans="1:8" s="189" customFormat="1" ht="15" hidden="1" x14ac:dyDescent="0.25">
      <c r="A87" s="184"/>
      <c r="B87" s="185"/>
      <c r="C87" s="199"/>
      <c r="D87" s="204"/>
      <c r="E87" s="192"/>
      <c r="F87" s="192">
        <v>0</v>
      </c>
      <c r="G87" s="249"/>
      <c r="H87" s="192" t="e">
        <f t="shared" si="1"/>
        <v>#DIV/0!</v>
      </c>
    </row>
    <row r="88" spans="1:8" s="189" customFormat="1" ht="15" hidden="1" x14ac:dyDescent="0.25">
      <c r="A88" s="184"/>
      <c r="B88" s="185" t="s">
        <v>1367</v>
      </c>
      <c r="C88" s="199"/>
      <c r="D88" s="204" t="s">
        <v>1368</v>
      </c>
      <c r="E88" s="192"/>
      <c r="F88" s="192"/>
      <c r="G88" s="249"/>
      <c r="H88" s="192"/>
    </row>
    <row r="89" spans="1:8" s="189" customFormat="1" ht="15" hidden="1" x14ac:dyDescent="0.25">
      <c r="A89" s="184"/>
      <c r="B89" s="185" t="s">
        <v>288</v>
      </c>
      <c r="C89" s="199"/>
      <c r="D89" s="204"/>
      <c r="E89" s="192"/>
      <c r="F89" s="192"/>
      <c r="G89" s="249"/>
      <c r="H89" s="192" t="e">
        <f t="shared" si="1"/>
        <v>#DIV/0!</v>
      </c>
    </row>
    <row r="90" spans="1:8" s="189" customFormat="1" ht="15" hidden="1" x14ac:dyDescent="0.25">
      <c r="A90" s="184"/>
      <c r="B90" s="185" t="s">
        <v>288</v>
      </c>
      <c r="C90" s="199"/>
      <c r="D90" s="204"/>
      <c r="E90" s="192"/>
      <c r="F90" s="192"/>
      <c r="G90" s="249"/>
      <c r="H90" s="192" t="e">
        <f t="shared" si="1"/>
        <v>#DIV/0!</v>
      </c>
    </row>
    <row r="91" spans="1:8" s="189" customFormat="1" ht="15" hidden="1" x14ac:dyDescent="0.25">
      <c r="A91" s="184"/>
      <c r="B91" s="185" t="s">
        <v>288</v>
      </c>
      <c r="C91" s="199"/>
      <c r="D91" s="187" t="s">
        <v>1296</v>
      </c>
      <c r="E91" s="196">
        <v>0</v>
      </c>
      <c r="F91" s="196"/>
      <c r="G91" s="248"/>
      <c r="H91" s="196" t="e">
        <f t="shared" si="1"/>
        <v>#DIV/0!</v>
      </c>
    </row>
    <row r="92" spans="1:8" s="183" customFormat="1" ht="16.5" hidden="1" x14ac:dyDescent="0.25">
      <c r="A92" s="178"/>
      <c r="B92" s="179" t="s">
        <v>56</v>
      </c>
      <c r="C92" s="180"/>
      <c r="D92" s="181" t="s">
        <v>1170</v>
      </c>
      <c r="E92" s="182">
        <f>SUM(E93)</f>
        <v>0</v>
      </c>
      <c r="F92" s="182">
        <f>SUM(F93:F94)</f>
        <v>5270</v>
      </c>
      <c r="G92" s="1121">
        <f>SUM(G93:G94)</f>
        <v>0</v>
      </c>
      <c r="H92" s="182"/>
    </row>
    <row r="93" spans="1:8" s="189" customFormat="1" ht="15" hidden="1" x14ac:dyDescent="0.25">
      <c r="A93" s="184"/>
      <c r="B93" s="185" t="s">
        <v>225</v>
      </c>
      <c r="C93" s="186"/>
      <c r="D93" s="187" t="s">
        <v>1585</v>
      </c>
      <c r="E93" s="188"/>
      <c r="F93" s="188">
        <v>0</v>
      </c>
      <c r="G93" s="1123">
        <v>0</v>
      </c>
      <c r="H93" s="188"/>
    </row>
    <row r="94" spans="1:8" s="189" customFormat="1" ht="15" hidden="1" x14ac:dyDescent="0.25">
      <c r="A94" s="184"/>
      <c r="B94" s="185"/>
      <c r="C94" s="186"/>
      <c r="D94" s="187"/>
      <c r="E94" s="188"/>
      <c r="F94" s="188">
        <v>5270</v>
      </c>
      <c r="G94" s="1123"/>
      <c r="H94" s="188"/>
    </row>
    <row r="95" spans="1:8" s="183" customFormat="1" ht="16.5" hidden="1" x14ac:dyDescent="0.25">
      <c r="A95" s="178"/>
      <c r="B95" s="179"/>
      <c r="C95" s="180"/>
      <c r="D95" s="181"/>
      <c r="E95" s="182">
        <v>0</v>
      </c>
      <c r="F95" s="182">
        <v>0</v>
      </c>
      <c r="G95" s="1121">
        <v>0</v>
      </c>
      <c r="H95" s="182"/>
    </row>
    <row r="96" spans="1:8" ht="19.5" hidden="1" customHeight="1" x14ac:dyDescent="0.25">
      <c r="A96" s="1530" t="s">
        <v>229</v>
      </c>
      <c r="B96" s="1530"/>
      <c r="C96" s="1530"/>
      <c r="D96" s="1530"/>
      <c r="E96" s="205">
        <f>E4+E29+E56+E80+E92+E95</f>
        <v>2229349</v>
      </c>
      <c r="F96" s="205">
        <f>F4+F29+F56+F80+F92+F95</f>
        <v>2473913</v>
      </c>
      <c r="G96" s="205">
        <f>G4+G29+G56+G92+G95</f>
        <v>2265099</v>
      </c>
      <c r="H96" s="205">
        <f t="shared" si="1"/>
        <v>91.559363647791983</v>
      </c>
    </row>
    <row r="97" spans="1:8" s="183" customFormat="1" ht="16.5" hidden="1" x14ac:dyDescent="0.25">
      <c r="A97" s="178"/>
      <c r="B97" s="179"/>
      <c r="C97" s="180"/>
      <c r="D97" s="181"/>
      <c r="E97" s="182"/>
      <c r="F97" s="182">
        <v>205609</v>
      </c>
      <c r="G97" s="1121"/>
      <c r="H97" s="182">
        <f t="shared" si="1"/>
        <v>0</v>
      </c>
    </row>
    <row r="98" spans="1:8" s="183" customFormat="1" ht="31.5" hidden="1" customHeight="1" x14ac:dyDescent="0.25">
      <c r="A98" s="178"/>
      <c r="B98" s="206"/>
      <c r="C98" s="180"/>
      <c r="D98" s="207"/>
      <c r="E98" s="182">
        <v>0</v>
      </c>
      <c r="F98" s="182">
        <v>0</v>
      </c>
      <c r="G98" s="182">
        <v>0</v>
      </c>
      <c r="H98" s="182"/>
    </row>
    <row r="99" spans="1:8" ht="19.5" hidden="1" customHeight="1" x14ac:dyDescent="0.25">
      <c r="A99" s="1530" t="s">
        <v>233</v>
      </c>
      <c r="B99" s="1530" t="s">
        <v>234</v>
      </c>
      <c r="C99" s="1530"/>
      <c r="D99" s="1530" t="s">
        <v>235</v>
      </c>
      <c r="E99" s="205">
        <f>SUM(E97:E98)</f>
        <v>0</v>
      </c>
      <c r="F99" s="205">
        <f>SUM(F97:F98)</f>
        <v>205609</v>
      </c>
      <c r="G99" s="205">
        <f>SUM(G97:G98)</f>
        <v>0</v>
      </c>
      <c r="H99" s="205">
        <f t="shared" si="1"/>
        <v>0</v>
      </c>
    </row>
    <row r="100" spans="1:8" ht="19.5" hidden="1" customHeight="1" x14ac:dyDescent="0.25">
      <c r="A100" s="1530" t="s">
        <v>236</v>
      </c>
      <c r="B100" s="1530"/>
      <c r="C100" s="1530"/>
      <c r="D100" s="1530"/>
      <c r="E100" s="205">
        <f>E96+E99</f>
        <v>2229349</v>
      </c>
      <c r="F100" s="205">
        <f>F96+F99</f>
        <v>2679522</v>
      </c>
      <c r="G100" s="205">
        <f>G96+G99</f>
        <v>2265099</v>
      </c>
      <c r="H100" s="205">
        <f t="shared" si="1"/>
        <v>84.533696681721594</v>
      </c>
    </row>
    <row r="101" spans="1:8" s="183" customFormat="1" ht="16.5" hidden="1" x14ac:dyDescent="0.25">
      <c r="A101" s="178"/>
      <c r="B101" s="179"/>
      <c r="C101" s="180"/>
      <c r="D101" s="181"/>
      <c r="E101" s="182">
        <f>E102</f>
        <v>0</v>
      </c>
      <c r="F101" s="182">
        <f>F102+F103</f>
        <v>198462</v>
      </c>
      <c r="G101" s="182">
        <f>G102+G103</f>
        <v>0</v>
      </c>
      <c r="H101" s="182"/>
    </row>
    <row r="102" spans="1:8" s="189" customFormat="1" ht="15" hidden="1" x14ac:dyDescent="0.25">
      <c r="A102" s="184"/>
      <c r="B102" s="185"/>
      <c r="C102" s="186"/>
      <c r="D102" s="187"/>
      <c r="E102" s="188"/>
      <c r="F102" s="188"/>
      <c r="G102" s="188"/>
      <c r="H102" s="188"/>
    </row>
    <row r="103" spans="1:8" s="189" customFormat="1" ht="15" hidden="1" x14ac:dyDescent="0.25">
      <c r="A103" s="1035"/>
      <c r="B103" s="185"/>
      <c r="C103" s="1036"/>
      <c r="D103" s="1037"/>
      <c r="E103" s="1038"/>
      <c r="F103" s="1038">
        <v>198462</v>
      </c>
      <c r="G103" s="1038"/>
      <c r="H103" s="1038"/>
    </row>
    <row r="104" spans="1:8" s="183" customFormat="1" ht="16.5" hidden="1" x14ac:dyDescent="0.25">
      <c r="A104" s="178"/>
      <c r="B104" s="179"/>
      <c r="C104" s="180"/>
      <c r="D104" s="181"/>
      <c r="E104" s="182">
        <f>E105</f>
        <v>0</v>
      </c>
      <c r="F104" s="182">
        <f>F105</f>
        <v>0</v>
      </c>
      <c r="G104" s="182">
        <f>G105</f>
        <v>0</v>
      </c>
      <c r="H104" s="182"/>
    </row>
    <row r="105" spans="1:8" s="189" customFormat="1" ht="15" hidden="1" x14ac:dyDescent="0.25">
      <c r="A105" s="208"/>
      <c r="B105" s="185"/>
      <c r="C105" s="186"/>
      <c r="D105" s="187"/>
      <c r="E105" s="188"/>
      <c r="F105" s="188"/>
      <c r="G105" s="188"/>
      <c r="H105" s="188"/>
    </row>
    <row r="106" spans="1:8" ht="19.5" hidden="1" customHeight="1" x14ac:dyDescent="0.25">
      <c r="A106" s="1530" t="s">
        <v>237</v>
      </c>
      <c r="B106" s="1530"/>
      <c r="C106" s="1530"/>
      <c r="D106" s="1530"/>
      <c r="E106" s="205">
        <f>E101+E104</f>
        <v>0</v>
      </c>
      <c r="F106" s="205">
        <f>F101+F104</f>
        <v>198462</v>
      </c>
      <c r="G106" s="205">
        <f>G101+G104</f>
        <v>0</v>
      </c>
      <c r="H106" s="205"/>
    </row>
    <row r="107" spans="1:8" ht="19.5" customHeight="1" x14ac:dyDescent="0.25">
      <c r="A107" s="1531" t="s">
        <v>238</v>
      </c>
      <c r="B107" s="1531"/>
      <c r="C107" s="1531"/>
      <c r="D107" s="1531"/>
      <c r="E107" s="177">
        <f>E100+E106</f>
        <v>2229349</v>
      </c>
      <c r="F107" s="177">
        <f>F100+F106</f>
        <v>2877984</v>
      </c>
      <c r="G107" s="177">
        <f>G100+G106</f>
        <v>2265099</v>
      </c>
      <c r="H107" s="177">
        <f t="shared" si="1"/>
        <v>78.704363888054971</v>
      </c>
    </row>
    <row r="108" spans="1:8" s="209" customFormat="1" ht="19.5" customHeight="1" x14ac:dyDescent="0.25">
      <c r="A108" s="712"/>
      <c r="B108" s="713"/>
      <c r="C108" s="713"/>
      <c r="D108" s="713"/>
      <c r="E108" s="714"/>
      <c r="F108" s="714"/>
      <c r="G108" s="714"/>
      <c r="H108" s="714"/>
    </row>
    <row r="109" spans="1:8" ht="19.5" customHeight="1" x14ac:dyDescent="0.25">
      <c r="A109" s="210" t="s">
        <v>1586</v>
      </c>
      <c r="B109" s="211"/>
      <c r="C109" s="212"/>
      <c r="D109" s="213"/>
      <c r="E109" s="214"/>
      <c r="F109" s="214"/>
      <c r="G109" s="214"/>
      <c r="H109" s="214"/>
    </row>
    <row r="110" spans="1:8" s="183" customFormat="1" ht="16.5" x14ac:dyDescent="0.25">
      <c r="A110" s="215"/>
      <c r="B110" s="179" t="s">
        <v>4</v>
      </c>
      <c r="C110" s="180"/>
      <c r="D110" s="181" t="s">
        <v>1587</v>
      </c>
      <c r="E110" s="182">
        <f>E111+E130</f>
        <v>200000</v>
      </c>
      <c r="F110" s="182">
        <f>F111+F130+F117</f>
        <v>100000</v>
      </c>
      <c r="G110" s="182">
        <f>SUM(G111:G114)</f>
        <v>250000</v>
      </c>
      <c r="H110" s="182">
        <f t="shared" si="1"/>
        <v>250</v>
      </c>
    </row>
    <row r="111" spans="1:8" s="189" customFormat="1" ht="16.5" x14ac:dyDescent="0.25">
      <c r="A111" s="184"/>
      <c r="B111" s="185" t="s">
        <v>462</v>
      </c>
      <c r="C111" s="186"/>
      <c r="D111" s="187" t="s">
        <v>1489</v>
      </c>
      <c r="E111" s="188">
        <f>SUM(E112:E115)</f>
        <v>200000</v>
      </c>
      <c r="F111" s="188">
        <f>SUM(F112:F115)</f>
        <v>100000</v>
      </c>
      <c r="G111" s="188">
        <v>0</v>
      </c>
      <c r="H111" s="182">
        <f t="shared" si="1"/>
        <v>0</v>
      </c>
    </row>
    <row r="112" spans="1:8" ht="15" customHeight="1" x14ac:dyDescent="0.25">
      <c r="A112" s="172"/>
      <c r="B112" s="185" t="s">
        <v>255</v>
      </c>
      <c r="C112" s="185"/>
      <c r="D112" s="187" t="s">
        <v>1490</v>
      </c>
      <c r="E112" s="192">
        <v>200000</v>
      </c>
      <c r="F112" s="192">
        <v>100000</v>
      </c>
      <c r="G112" s="192">
        <v>250000</v>
      </c>
      <c r="H112" s="182">
        <f t="shared" si="1"/>
        <v>250</v>
      </c>
    </row>
    <row r="113" spans="1:8" ht="15" customHeight="1" x14ac:dyDescent="0.25">
      <c r="A113" s="1280"/>
      <c r="B113" s="185" t="s">
        <v>212</v>
      </c>
      <c r="C113" s="185"/>
      <c r="D113" s="187" t="s">
        <v>1491</v>
      </c>
      <c r="E113" s="1262"/>
      <c r="F113" s="1262"/>
      <c r="G113" s="1262">
        <v>0</v>
      </c>
      <c r="H113" s="1281"/>
    </row>
    <row r="114" spans="1:8" ht="15" customHeight="1" x14ac:dyDescent="0.25">
      <c r="A114" s="1280"/>
      <c r="B114" s="185" t="s">
        <v>536</v>
      </c>
      <c r="C114" s="185"/>
      <c r="D114" s="187" t="s">
        <v>1588</v>
      </c>
      <c r="E114" s="1262"/>
      <c r="F114" s="1262"/>
      <c r="G114" s="1262">
        <v>0</v>
      </c>
      <c r="H114" s="1281"/>
    </row>
    <row r="115" spans="1:8" s="189" customFormat="1" ht="16.5" hidden="1" x14ac:dyDescent="0.25">
      <c r="A115" s="184"/>
      <c r="B115" s="185"/>
      <c r="C115" s="186"/>
      <c r="D115" s="187"/>
      <c r="E115" s="188">
        <f>E116</f>
        <v>0</v>
      </c>
      <c r="F115" s="188">
        <f>F116</f>
        <v>0</v>
      </c>
      <c r="G115" s="188">
        <f>G116</f>
        <v>0</v>
      </c>
      <c r="H115" s="182"/>
    </row>
    <row r="116" spans="1:8" ht="15" hidden="1" customHeight="1" x14ac:dyDescent="0.25">
      <c r="A116" s="172"/>
      <c r="B116" s="1536"/>
      <c r="C116" s="1536"/>
      <c r="D116" s="191"/>
      <c r="E116" s="192"/>
      <c r="F116" s="192"/>
      <c r="G116" s="192"/>
      <c r="H116" s="182"/>
    </row>
    <row r="117" spans="1:8" s="189" customFormat="1" ht="16.5" hidden="1" x14ac:dyDescent="0.25">
      <c r="A117" s="184"/>
      <c r="B117" s="185"/>
      <c r="C117" s="186"/>
      <c r="D117" s="187"/>
      <c r="E117" s="188">
        <f>SUM(E118)</f>
        <v>0</v>
      </c>
      <c r="F117" s="188">
        <f t="shared" ref="F117:G117" si="3">SUM(F118)</f>
        <v>0</v>
      </c>
      <c r="G117" s="188">
        <f t="shared" si="3"/>
        <v>0</v>
      </c>
      <c r="H117" s="182"/>
    </row>
    <row r="118" spans="1:8" ht="15" hidden="1" customHeight="1" x14ac:dyDescent="0.25">
      <c r="A118" s="172"/>
      <c r="B118" s="1537"/>
      <c r="C118" s="1538"/>
      <c r="D118" s="191"/>
      <c r="E118" s="192"/>
      <c r="F118" s="192"/>
      <c r="G118" s="192"/>
      <c r="H118" s="182"/>
    </row>
    <row r="119" spans="1:8" ht="12" hidden="1" customHeight="1" x14ac:dyDescent="0.25">
      <c r="A119" s="172"/>
      <c r="B119" s="173"/>
      <c r="C119" s="200" t="s">
        <v>240</v>
      </c>
      <c r="D119" s="191" t="s">
        <v>241</v>
      </c>
      <c r="E119" s="192"/>
      <c r="F119" s="192"/>
      <c r="G119" s="192"/>
      <c r="H119" s="182" t="e">
        <f t="shared" si="1"/>
        <v>#DIV/0!</v>
      </c>
    </row>
    <row r="120" spans="1:8" ht="15" hidden="1" customHeight="1" x14ac:dyDescent="0.25">
      <c r="A120" s="172"/>
      <c r="B120" s="173"/>
      <c r="C120" s="200" t="s">
        <v>242</v>
      </c>
      <c r="D120" s="191" t="s">
        <v>172</v>
      </c>
      <c r="E120" s="192"/>
      <c r="F120" s="192"/>
      <c r="G120" s="192"/>
      <c r="H120" s="182" t="e">
        <f t="shared" si="1"/>
        <v>#DIV/0!</v>
      </c>
    </row>
    <row r="121" spans="1:8" ht="15" hidden="1" customHeight="1" x14ac:dyDescent="0.25">
      <c r="A121" s="172"/>
      <c r="B121" s="173"/>
      <c r="C121" s="200" t="s">
        <v>243</v>
      </c>
      <c r="D121" s="191" t="s">
        <v>174</v>
      </c>
      <c r="E121" s="192"/>
      <c r="F121" s="192"/>
      <c r="G121" s="192"/>
      <c r="H121" s="182" t="e">
        <f t="shared" si="1"/>
        <v>#DIV/0!</v>
      </c>
    </row>
    <row r="122" spans="1:8" ht="15" hidden="1" customHeight="1" x14ac:dyDescent="0.25">
      <c r="A122" s="172"/>
      <c r="B122" s="173"/>
      <c r="C122" s="200" t="s">
        <v>244</v>
      </c>
      <c r="D122" s="191" t="s">
        <v>155</v>
      </c>
      <c r="E122" s="192"/>
      <c r="F122" s="192"/>
      <c r="G122" s="192"/>
      <c r="H122" s="182" t="e">
        <f t="shared" si="1"/>
        <v>#DIV/0!</v>
      </c>
    </row>
    <row r="123" spans="1:8" ht="15" hidden="1" customHeight="1" x14ac:dyDescent="0.25">
      <c r="A123" s="172"/>
      <c r="B123" s="173"/>
      <c r="C123" s="199" t="s">
        <v>245</v>
      </c>
      <c r="D123" s="195" t="s">
        <v>157</v>
      </c>
      <c r="E123" s="196"/>
      <c r="F123" s="196"/>
      <c r="G123" s="196"/>
      <c r="H123" s="182" t="e">
        <f t="shared" si="1"/>
        <v>#DIV/0!</v>
      </c>
    </row>
    <row r="124" spans="1:8" ht="15" hidden="1" customHeight="1" x14ac:dyDescent="0.25">
      <c r="A124" s="172"/>
      <c r="B124" s="173"/>
      <c r="C124" s="199" t="s">
        <v>246</v>
      </c>
      <c r="D124" s="195" t="s">
        <v>247</v>
      </c>
      <c r="E124" s="196"/>
      <c r="F124" s="196"/>
      <c r="G124" s="196"/>
      <c r="H124" s="182" t="e">
        <f t="shared" si="1"/>
        <v>#DIV/0!</v>
      </c>
    </row>
    <row r="125" spans="1:8" ht="15" hidden="1" customHeight="1" x14ac:dyDescent="0.25">
      <c r="A125" s="172"/>
      <c r="B125" s="173"/>
      <c r="C125" s="199" t="s">
        <v>248</v>
      </c>
      <c r="D125" s="195" t="s">
        <v>159</v>
      </c>
      <c r="E125" s="196"/>
      <c r="F125" s="196"/>
      <c r="G125" s="196"/>
      <c r="H125" s="182" t="e">
        <f t="shared" si="1"/>
        <v>#DIV/0!</v>
      </c>
    </row>
    <row r="126" spans="1:8" ht="15" hidden="1" customHeight="1" x14ac:dyDescent="0.25">
      <c r="A126" s="172"/>
      <c r="B126" s="173"/>
      <c r="C126" s="199" t="s">
        <v>249</v>
      </c>
      <c r="D126" s="195" t="s">
        <v>161</v>
      </c>
      <c r="E126" s="196"/>
      <c r="F126" s="196"/>
      <c r="G126" s="196"/>
      <c r="H126" s="182" t="e">
        <f t="shared" si="1"/>
        <v>#DIV/0!</v>
      </c>
    </row>
    <row r="127" spans="1:8" ht="15" hidden="1" customHeight="1" x14ac:dyDescent="0.25">
      <c r="A127" s="172"/>
      <c r="B127" s="173"/>
      <c r="C127" s="199" t="s">
        <v>250</v>
      </c>
      <c r="D127" s="195" t="s">
        <v>163</v>
      </c>
      <c r="E127" s="196"/>
      <c r="F127" s="196"/>
      <c r="G127" s="196"/>
      <c r="H127" s="182" t="e">
        <f t="shared" si="1"/>
        <v>#DIV/0!</v>
      </c>
    </row>
    <row r="128" spans="1:8" ht="15" hidden="1" customHeight="1" x14ac:dyDescent="0.25">
      <c r="A128" s="172"/>
      <c r="B128" s="173"/>
      <c r="C128" s="199" t="s">
        <v>251</v>
      </c>
      <c r="D128" s="195" t="s">
        <v>252</v>
      </c>
      <c r="E128" s="196"/>
      <c r="F128" s="196"/>
      <c r="G128" s="196"/>
      <c r="H128" s="182" t="e">
        <f t="shared" si="1"/>
        <v>#DIV/0!</v>
      </c>
    </row>
    <row r="129" spans="1:8" ht="15" hidden="1" customHeight="1" x14ac:dyDescent="0.25">
      <c r="A129" s="172"/>
      <c r="B129" s="173"/>
      <c r="C129" s="200" t="s">
        <v>253</v>
      </c>
      <c r="D129" s="191" t="s">
        <v>254</v>
      </c>
      <c r="E129" s="192"/>
      <c r="F129" s="192"/>
      <c r="G129" s="192"/>
      <c r="H129" s="182" t="e">
        <f t="shared" si="1"/>
        <v>#DIV/0!</v>
      </c>
    </row>
    <row r="130" spans="1:8" s="189" customFormat="1" ht="16.5" hidden="1" x14ac:dyDescent="0.25">
      <c r="A130" s="184"/>
      <c r="B130" s="185" t="s">
        <v>255</v>
      </c>
      <c r="C130" s="186"/>
      <c r="D130" s="187" t="s">
        <v>256</v>
      </c>
      <c r="E130" s="188">
        <f>E131</f>
        <v>0</v>
      </c>
      <c r="F130" s="188">
        <f>F131</f>
        <v>0</v>
      </c>
      <c r="G130" s="188">
        <f>G131</f>
        <v>0</v>
      </c>
      <c r="H130" s="182"/>
    </row>
    <row r="131" spans="1:8" ht="15" hidden="1" customHeight="1" x14ac:dyDescent="0.25">
      <c r="A131" s="172"/>
      <c r="B131" s="1536" t="s">
        <v>257</v>
      </c>
      <c r="C131" s="1536"/>
      <c r="D131" s="191" t="s">
        <v>258</v>
      </c>
      <c r="E131" s="192"/>
      <c r="F131" s="192"/>
      <c r="G131" s="192"/>
      <c r="H131" s="182"/>
    </row>
    <row r="132" spans="1:8" s="183" customFormat="1" ht="16.5" x14ac:dyDescent="0.25">
      <c r="A132" s="215"/>
      <c r="B132" s="179" t="s">
        <v>6</v>
      </c>
      <c r="C132" s="180"/>
      <c r="D132" s="181" t="s">
        <v>1225</v>
      </c>
      <c r="E132" s="182">
        <f>SUM(E134)</f>
        <v>157195</v>
      </c>
      <c r="F132" s="182">
        <f>SUM(F133+F134+F140)</f>
        <v>386482</v>
      </c>
      <c r="G132" s="182">
        <f>SUM(G133+G134+G140)</f>
        <v>0</v>
      </c>
      <c r="H132" s="182">
        <f t="shared" si="1"/>
        <v>0</v>
      </c>
    </row>
    <row r="133" spans="1:8" s="189" customFormat="1" ht="16.5" x14ac:dyDescent="0.25">
      <c r="A133" s="184"/>
      <c r="B133" s="185" t="s">
        <v>259</v>
      </c>
      <c r="C133" s="186"/>
      <c r="D133" s="187" t="s">
        <v>1589</v>
      </c>
      <c r="E133" s="188"/>
      <c r="F133" s="188">
        <v>942</v>
      </c>
      <c r="G133" s="188"/>
      <c r="H133" s="182">
        <f t="shared" si="1"/>
        <v>0</v>
      </c>
    </row>
    <row r="134" spans="1:8" s="189" customFormat="1" ht="16.5" x14ac:dyDescent="0.25">
      <c r="A134" s="184"/>
      <c r="B134" s="185" t="s">
        <v>600</v>
      </c>
      <c r="C134" s="186"/>
      <c r="D134" s="187" t="s">
        <v>1590</v>
      </c>
      <c r="E134" s="188">
        <v>157195</v>
      </c>
      <c r="F134" s="188"/>
      <c r="G134" s="188"/>
      <c r="H134" s="182"/>
    </row>
    <row r="135" spans="1:8" s="183" customFormat="1" ht="16.5" x14ac:dyDescent="0.25">
      <c r="A135" s="215"/>
      <c r="B135" s="179" t="s">
        <v>7</v>
      </c>
      <c r="C135" s="180"/>
      <c r="D135" s="181" t="s">
        <v>1171</v>
      </c>
      <c r="E135" s="182">
        <f>SUM(E136)</f>
        <v>500</v>
      </c>
      <c r="F135" s="182">
        <f>SUM(F136+F140)</f>
        <v>388040</v>
      </c>
      <c r="G135" s="182">
        <f>SUM(G136+G140)</f>
        <v>1000</v>
      </c>
      <c r="H135" s="182">
        <f t="shared" si="1"/>
        <v>0.25770539119678382</v>
      </c>
    </row>
    <row r="136" spans="1:8" ht="29.25" customHeight="1" x14ac:dyDescent="0.25">
      <c r="A136" s="184"/>
      <c r="B136" s="185" t="s">
        <v>260</v>
      </c>
      <c r="C136" s="186"/>
      <c r="D136" s="1282" t="s">
        <v>1591</v>
      </c>
      <c r="E136" s="188">
        <f>SUM(E137:E139)</f>
        <v>500</v>
      </c>
      <c r="F136" s="188">
        <f>SUM(F137:F139)</f>
        <v>2500</v>
      </c>
      <c r="G136" s="188">
        <f>SUM(G137:G139)</f>
        <v>1000</v>
      </c>
      <c r="H136" s="188">
        <f t="shared" si="1"/>
        <v>40</v>
      </c>
    </row>
    <row r="137" spans="1:8" ht="15" customHeight="1" x14ac:dyDescent="0.25">
      <c r="A137" s="190"/>
      <c r="B137" s="201" t="s">
        <v>261</v>
      </c>
      <c r="C137" s="194"/>
      <c r="D137" s="191" t="s">
        <v>262</v>
      </c>
      <c r="E137" s="192">
        <v>500</v>
      </c>
      <c r="F137" s="192">
        <v>500</v>
      </c>
      <c r="G137" s="192">
        <v>500</v>
      </c>
      <c r="H137" s="192">
        <f t="shared" si="1"/>
        <v>100</v>
      </c>
    </row>
    <row r="138" spans="1:8" ht="15" customHeight="1" x14ac:dyDescent="0.25">
      <c r="A138" s="172"/>
      <c r="B138" s="1536" t="s">
        <v>263</v>
      </c>
      <c r="C138" s="1536"/>
      <c r="D138" s="191" t="s">
        <v>1592</v>
      </c>
      <c r="E138" s="192"/>
      <c r="F138" s="192"/>
      <c r="G138" s="192">
        <v>500</v>
      </c>
      <c r="H138" s="192"/>
    </row>
    <row r="139" spans="1:8" ht="15" hidden="1" customHeight="1" x14ac:dyDescent="0.25">
      <c r="A139" s="172"/>
      <c r="B139" s="1536"/>
      <c r="C139" s="1536"/>
      <c r="D139" s="191"/>
      <c r="E139" s="192"/>
      <c r="F139" s="192">
        <v>2000</v>
      </c>
      <c r="G139" s="192"/>
      <c r="H139" s="192">
        <f t="shared" si="1"/>
        <v>0</v>
      </c>
    </row>
    <row r="140" spans="1:8" ht="15" customHeight="1" x14ac:dyDescent="0.25">
      <c r="A140" s="184"/>
      <c r="B140" s="185" t="s">
        <v>470</v>
      </c>
      <c r="C140" s="186"/>
      <c r="D140" s="187" t="s">
        <v>1593</v>
      </c>
      <c r="E140" s="188"/>
      <c r="F140" s="188">
        <v>385540</v>
      </c>
      <c r="G140" s="188"/>
      <c r="H140" s="192">
        <f t="shared" si="1"/>
        <v>0</v>
      </c>
    </row>
    <row r="141" spans="1:8" ht="15" hidden="1" customHeight="1" x14ac:dyDescent="0.25">
      <c r="A141" s="184"/>
      <c r="B141" s="179"/>
      <c r="C141" s="180"/>
      <c r="D141" s="181"/>
      <c r="E141" s="182">
        <f>SUM(E142)</f>
        <v>500</v>
      </c>
      <c r="F141" s="182">
        <f>SUM(F142)</f>
        <v>500</v>
      </c>
      <c r="G141" s="182"/>
      <c r="H141" s="182">
        <f t="shared" si="1"/>
        <v>0</v>
      </c>
    </row>
    <row r="142" spans="1:8" ht="15" hidden="1" customHeight="1" x14ac:dyDescent="0.25">
      <c r="A142" s="172"/>
      <c r="B142" s="185"/>
      <c r="C142" s="186"/>
      <c r="D142" s="187"/>
      <c r="E142" s="188">
        <v>500</v>
      </c>
      <c r="F142" s="188">
        <v>500</v>
      </c>
      <c r="G142" s="188"/>
      <c r="H142" s="188">
        <f t="shared" si="1"/>
        <v>0</v>
      </c>
    </row>
    <row r="143" spans="1:8" s="183" customFormat="1" ht="16.5" hidden="1" x14ac:dyDescent="0.25">
      <c r="A143" s="215"/>
      <c r="B143" s="179" t="s">
        <v>9</v>
      </c>
      <c r="C143" s="180"/>
      <c r="D143" s="181" t="s">
        <v>1364</v>
      </c>
      <c r="E143" s="182">
        <f>SUM(E144)</f>
        <v>0</v>
      </c>
      <c r="F143" s="182">
        <f t="shared" ref="F143:G143" si="4">SUM(F144)</f>
        <v>0</v>
      </c>
      <c r="G143" s="182">
        <f t="shared" si="4"/>
        <v>0</v>
      </c>
      <c r="H143" s="182" t="e">
        <f t="shared" si="1"/>
        <v>#DIV/0!</v>
      </c>
    </row>
    <row r="144" spans="1:8" s="189" customFormat="1" ht="15" hidden="1" x14ac:dyDescent="0.25">
      <c r="A144" s="184"/>
      <c r="B144" s="185" t="s">
        <v>479</v>
      </c>
      <c r="C144" s="186"/>
      <c r="D144" s="187" t="s">
        <v>1365</v>
      </c>
      <c r="E144" s="188"/>
      <c r="F144" s="188"/>
      <c r="G144" s="188">
        <v>0</v>
      </c>
      <c r="H144" s="188" t="e">
        <f t="shared" si="1"/>
        <v>#DIV/0!</v>
      </c>
    </row>
    <row r="145" spans="1:12" ht="19.5" hidden="1" customHeight="1" x14ac:dyDescent="0.25">
      <c r="A145" s="1530"/>
      <c r="B145" s="1530"/>
      <c r="C145" s="1530"/>
      <c r="D145" s="1530"/>
      <c r="E145" s="205">
        <f>E110+E132+E135+E143+E141</f>
        <v>358195</v>
      </c>
      <c r="F145" s="205">
        <f>F110+F132+F143+F141+F136</f>
        <v>489482</v>
      </c>
      <c r="G145" s="205"/>
      <c r="H145" s="205">
        <f t="shared" si="1"/>
        <v>0</v>
      </c>
    </row>
    <row r="146" spans="1:12" ht="16.5" hidden="1" x14ac:dyDescent="0.25">
      <c r="A146" s="178"/>
      <c r="B146" s="179"/>
      <c r="C146" s="180"/>
      <c r="D146" s="181"/>
      <c r="E146" s="182"/>
      <c r="F146" s="182">
        <v>407700</v>
      </c>
      <c r="G146" s="182"/>
      <c r="H146" s="182">
        <f t="shared" si="1"/>
        <v>0</v>
      </c>
      <c r="K146" s="216"/>
      <c r="L146" s="216"/>
    </row>
    <row r="147" spans="1:12" s="183" customFormat="1" ht="16.5" hidden="1" x14ac:dyDescent="0.25">
      <c r="A147" s="178"/>
      <c r="B147" s="206"/>
      <c r="C147" s="180"/>
      <c r="D147" s="207"/>
      <c r="E147" s="182"/>
      <c r="F147" s="182">
        <v>0</v>
      </c>
      <c r="G147" s="182"/>
      <c r="H147" s="182"/>
    </row>
    <row r="148" spans="1:12" ht="19.5" hidden="1" customHeight="1" x14ac:dyDescent="0.25">
      <c r="A148" s="1530"/>
      <c r="B148" s="1530"/>
      <c r="C148" s="1530"/>
      <c r="D148" s="1530"/>
      <c r="E148" s="205">
        <f>SUM(E146:E147)</f>
        <v>0</v>
      </c>
      <c r="F148" s="205">
        <f>SUM(F146:F147)</f>
        <v>407700</v>
      </c>
      <c r="G148" s="205"/>
      <c r="H148" s="205">
        <f t="shared" si="1"/>
        <v>0</v>
      </c>
    </row>
    <row r="149" spans="1:12" ht="19.5" customHeight="1" x14ac:dyDescent="0.25">
      <c r="A149" s="1530" t="s">
        <v>267</v>
      </c>
      <c r="B149" s="1530"/>
      <c r="C149" s="1530"/>
      <c r="D149" s="1530"/>
      <c r="E149" s="205">
        <f>E145+E148</f>
        <v>358195</v>
      </c>
      <c r="F149" s="205">
        <f>F145+F148</f>
        <v>897182</v>
      </c>
      <c r="G149" s="205">
        <f>SUM(G110+G132+G135)</f>
        <v>251000</v>
      </c>
      <c r="H149" s="205">
        <f t="shared" si="1"/>
        <v>27.976486376231357</v>
      </c>
    </row>
    <row r="150" spans="1:12" ht="19.5" customHeight="1" x14ac:dyDescent="0.25">
      <c r="A150" s="210" t="s">
        <v>1594</v>
      </c>
      <c r="B150" s="1283"/>
      <c r="C150" s="1284"/>
      <c r="D150" s="1285"/>
      <c r="E150" s="1251"/>
      <c r="F150" s="1251"/>
      <c r="G150" s="1251"/>
      <c r="H150" s="1251"/>
    </row>
    <row r="151" spans="1:12" s="183" customFormat="1" ht="16.5" x14ac:dyDescent="0.25">
      <c r="A151" s="178"/>
      <c r="B151" s="179" t="s">
        <v>13</v>
      </c>
      <c r="C151" s="180"/>
      <c r="D151" s="181" t="s">
        <v>1595</v>
      </c>
      <c r="E151" s="182">
        <f>E152+E156</f>
        <v>0</v>
      </c>
      <c r="F151" s="182">
        <f>F152+F156</f>
        <v>0</v>
      </c>
      <c r="G151" s="182">
        <f>G152+G156+G157+G160+G161</f>
        <v>0</v>
      </c>
      <c r="H151" s="182"/>
    </row>
    <row r="152" spans="1:12" s="189" customFormat="1" ht="15" x14ac:dyDescent="0.25">
      <c r="A152" s="184"/>
      <c r="B152" s="185" t="s">
        <v>1599</v>
      </c>
      <c r="C152" s="186"/>
      <c r="D152" s="187" t="s">
        <v>1596</v>
      </c>
      <c r="E152" s="188"/>
      <c r="F152" s="188"/>
      <c r="G152" s="188"/>
      <c r="H152" s="188"/>
    </row>
    <row r="153" spans="1:12" s="189" customFormat="1" ht="15" x14ac:dyDescent="0.25">
      <c r="A153" s="1286"/>
      <c r="B153" s="201" t="s">
        <v>1600</v>
      </c>
      <c r="C153" s="1287"/>
      <c r="D153" s="1290" t="s">
        <v>1597</v>
      </c>
      <c r="E153" s="1288"/>
      <c r="F153" s="1288"/>
      <c r="G153" s="1288"/>
      <c r="H153" s="1288"/>
    </row>
    <row r="154" spans="1:12" s="189" customFormat="1" ht="15" x14ac:dyDescent="0.25">
      <c r="A154" s="1286"/>
      <c r="B154" s="201" t="s">
        <v>1601</v>
      </c>
      <c r="C154" s="1287"/>
      <c r="D154" s="1290" t="s">
        <v>1598</v>
      </c>
      <c r="E154" s="1288"/>
      <c r="F154" s="1288"/>
      <c r="G154" s="1288"/>
      <c r="H154" s="1288"/>
    </row>
    <row r="155" spans="1:12" s="189" customFormat="1" ht="15" x14ac:dyDescent="0.25">
      <c r="A155" s="1286"/>
      <c r="B155" s="201" t="s">
        <v>1602</v>
      </c>
      <c r="C155" s="1287"/>
      <c r="D155" s="1290" t="s">
        <v>1417</v>
      </c>
      <c r="E155" s="1288"/>
      <c r="F155" s="1288"/>
      <c r="G155" s="1288"/>
      <c r="H155" s="1288"/>
    </row>
    <row r="156" spans="1:12" s="189" customFormat="1" ht="15" x14ac:dyDescent="0.25">
      <c r="A156" s="184"/>
      <c r="B156" s="185" t="s">
        <v>1604</v>
      </c>
      <c r="C156" s="186"/>
      <c r="D156" s="187" t="s">
        <v>1603</v>
      </c>
      <c r="E156" s="188">
        <v>0</v>
      </c>
      <c r="F156" s="188">
        <v>0</v>
      </c>
      <c r="G156" s="188">
        <v>0</v>
      </c>
      <c r="H156" s="188"/>
    </row>
    <row r="157" spans="1:12" s="189" customFormat="1" ht="15" x14ac:dyDescent="0.25">
      <c r="A157" s="1286"/>
      <c r="B157" s="1264" t="s">
        <v>1605</v>
      </c>
      <c r="C157" s="1287"/>
      <c r="D157" s="1265" t="s">
        <v>1606</v>
      </c>
      <c r="E157" s="1289"/>
      <c r="F157" s="1289"/>
      <c r="G157" s="1289">
        <f>SUM(G158:G159)</f>
        <v>0</v>
      </c>
      <c r="H157" s="1289"/>
    </row>
    <row r="158" spans="1:12" s="189" customFormat="1" ht="15" x14ac:dyDescent="0.25">
      <c r="A158" s="1286"/>
      <c r="B158" s="201" t="s">
        <v>1608</v>
      </c>
      <c r="C158" s="1287"/>
      <c r="D158" s="1290" t="s">
        <v>1607</v>
      </c>
      <c r="E158" s="1289"/>
      <c r="F158" s="1289"/>
      <c r="G158" s="1289"/>
      <c r="H158" s="1289"/>
    </row>
    <row r="159" spans="1:12" s="189" customFormat="1" ht="15" x14ac:dyDescent="0.25">
      <c r="A159" s="1286"/>
      <c r="B159" s="201" t="s">
        <v>1609</v>
      </c>
      <c r="C159" s="1287"/>
      <c r="D159" s="1290" t="s">
        <v>508</v>
      </c>
      <c r="E159" s="1289"/>
      <c r="F159" s="1289"/>
      <c r="G159" s="1289"/>
      <c r="H159" s="1289"/>
    </row>
    <row r="160" spans="1:12" s="189" customFormat="1" ht="15" x14ac:dyDescent="0.25">
      <c r="A160" s="1286"/>
      <c r="B160" s="1264" t="s">
        <v>1612</v>
      </c>
      <c r="C160" s="1287"/>
      <c r="D160" s="1265" t="s">
        <v>1610</v>
      </c>
      <c r="E160" s="1289"/>
      <c r="F160" s="1289"/>
      <c r="G160" s="1289">
        <v>0</v>
      </c>
      <c r="H160" s="1289"/>
    </row>
    <row r="161" spans="1:8" s="189" customFormat="1" ht="15" x14ac:dyDescent="0.25">
      <c r="A161" s="1286"/>
      <c r="B161" s="1264" t="s">
        <v>1613</v>
      </c>
      <c r="C161" s="1287"/>
      <c r="D161" s="1265" t="s">
        <v>1611</v>
      </c>
      <c r="E161" s="1289"/>
      <c r="F161" s="1289"/>
      <c r="G161" s="1289">
        <v>0</v>
      </c>
      <c r="H161" s="1289"/>
    </row>
    <row r="162" spans="1:8" ht="19.5" customHeight="1" x14ac:dyDescent="0.25">
      <c r="A162" s="1530" t="s">
        <v>1636</v>
      </c>
      <c r="B162" s="1530"/>
      <c r="C162" s="1530"/>
      <c r="D162" s="1530"/>
      <c r="E162" s="205">
        <f>E151</f>
        <v>0</v>
      </c>
      <c r="F162" s="205">
        <f>F151</f>
        <v>0</v>
      </c>
      <c r="G162" s="205">
        <f>G151</f>
        <v>0</v>
      </c>
      <c r="H162" s="205"/>
    </row>
    <row r="163" spans="1:8" ht="19.5" customHeight="1" x14ac:dyDescent="0.25">
      <c r="A163" s="1531"/>
      <c r="B163" s="1531"/>
      <c r="C163" s="1531"/>
      <c r="D163" s="1531"/>
      <c r="E163" s="177">
        <f>E162+E149</f>
        <v>358195</v>
      </c>
      <c r="F163" s="177">
        <f>F162+F149</f>
        <v>897182</v>
      </c>
      <c r="G163" s="177"/>
      <c r="H163" s="177">
        <f>G163/F163*100</f>
        <v>0</v>
      </c>
    </row>
    <row r="164" spans="1:8" ht="42.75" customHeight="1" x14ac:dyDescent="0.3">
      <c r="A164" s="1533" t="s">
        <v>1637</v>
      </c>
      <c r="B164" s="1534"/>
      <c r="C164" s="1534"/>
      <c r="D164" s="1535"/>
      <c r="E164" s="221">
        <f>E163+E107</f>
        <v>2587544</v>
      </c>
      <c r="F164" s="221">
        <f>F163+F107</f>
        <v>3775166</v>
      </c>
      <c r="G164" s="221">
        <f>SUM(G162+G149+G107)</f>
        <v>2516099</v>
      </c>
      <c r="H164" s="221">
        <f>G164/F164*100</f>
        <v>66.648698361873357</v>
      </c>
    </row>
    <row r="165" spans="1:8" ht="21.75" customHeight="1" x14ac:dyDescent="0.3">
      <c r="A165" s="1532" t="s">
        <v>268</v>
      </c>
      <c r="B165" s="1532"/>
      <c r="C165" s="1532"/>
      <c r="D165" s="1532"/>
      <c r="E165" s="222">
        <v>0</v>
      </c>
      <c r="F165" s="222">
        <v>0</v>
      </c>
      <c r="G165" s="222">
        <v>0</v>
      </c>
      <c r="H165" s="222"/>
    </row>
    <row r="166" spans="1:8" s="183" customFormat="1" ht="28.5" customHeight="1" x14ac:dyDescent="0.25">
      <c r="A166" s="1529" t="s">
        <v>269</v>
      </c>
      <c r="B166" s="1529"/>
      <c r="C166" s="1529"/>
      <c r="D166" s="1529"/>
      <c r="E166" s="223" t="e">
        <f>SUM(E164+E165)+#REF!</f>
        <v>#REF!</v>
      </c>
      <c r="F166" s="223" t="e">
        <f>SUM(F164+F165)+#REF!</f>
        <v>#REF!</v>
      </c>
      <c r="G166" s="223">
        <f>SUM(G164+G165)</f>
        <v>2516099</v>
      </c>
      <c r="H166" s="223" t="e">
        <f>G166/F166*100</f>
        <v>#REF!</v>
      </c>
    </row>
  </sheetData>
  <sheetProtection selectLockedCells="1" selectUnlockedCells="1"/>
  <mergeCells count="58">
    <mergeCell ref="A1:C1"/>
    <mergeCell ref="A3:D3"/>
    <mergeCell ref="B6:C6"/>
    <mergeCell ref="B8:C8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31:C31"/>
    <mergeCell ref="B34:C34"/>
    <mergeCell ref="B42:C42"/>
    <mergeCell ref="B43:C43"/>
    <mergeCell ref="B21:C21"/>
    <mergeCell ref="B22:C22"/>
    <mergeCell ref="B23:C23"/>
    <mergeCell ref="B44:C44"/>
    <mergeCell ref="B45:C45"/>
    <mergeCell ref="B47:C47"/>
    <mergeCell ref="B48:C48"/>
    <mergeCell ref="B49:C49"/>
    <mergeCell ref="B50:C50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  <mergeCell ref="B70:C70"/>
    <mergeCell ref="B71:C71"/>
    <mergeCell ref="B75:C75"/>
    <mergeCell ref="B77:C77"/>
    <mergeCell ref="B78:C78"/>
    <mergeCell ref="A96:D96"/>
    <mergeCell ref="A99:D99"/>
    <mergeCell ref="A100:D100"/>
    <mergeCell ref="A106:D106"/>
    <mergeCell ref="A107:D107"/>
    <mergeCell ref="B131:C131"/>
    <mergeCell ref="B138:C138"/>
    <mergeCell ref="B139:C139"/>
    <mergeCell ref="B116:C116"/>
    <mergeCell ref="B118:C118"/>
    <mergeCell ref="A166:D166"/>
    <mergeCell ref="A145:D145"/>
    <mergeCell ref="A148:D148"/>
    <mergeCell ref="A149:D149"/>
    <mergeCell ref="A162:D162"/>
    <mergeCell ref="A163:D163"/>
    <mergeCell ref="A165:D165"/>
    <mergeCell ref="A164:D164"/>
  </mergeCells>
  <printOptions horizontalCentered="1"/>
  <pageMargins left="0.19685039370078741" right="0" top="0.94488188976377963" bottom="0.59055118110236227" header="0.31496062992125984" footer="0.11811023622047245"/>
  <pageSetup paperSize="9" scale="85" firstPageNumber="54" orientation="portrait" r:id="rId1"/>
  <headerFooter alignWithMargins="0">
    <oddHeader>&amp;C&amp;"Times New Roman,Félkövér"&amp;14
Vecsés Város Önkormányzat 2014. évi bevételei forrásonként&amp;R&amp;"Times New Roman,Normál"&amp;12 3.1. sz. melléklet
Ezer Ft</oddHeader>
    <oddFooter>&amp;C- &amp;P -</oddFooter>
  </headerFooter>
  <rowBreaks count="1" manualBreakCount="1">
    <brk id="10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33"/>
  <sheetViews>
    <sheetView view="pageBreakPreview" topLeftCell="A139" zoomScale="110" zoomScaleSheetLayoutView="110" workbookViewId="0">
      <selection activeCell="D36" sqref="D36"/>
    </sheetView>
  </sheetViews>
  <sheetFormatPr defaultRowHeight="12.75" x14ac:dyDescent="0.2"/>
  <cols>
    <col min="1" max="1" width="2.5" style="168" customWidth="1"/>
    <col min="2" max="2" width="3" style="169" customWidth="1"/>
    <col min="3" max="3" width="8.83203125" style="169" customWidth="1"/>
    <col min="4" max="4" width="63.83203125" style="168" customWidth="1"/>
    <col min="5" max="5" width="13.5" style="168" hidden="1" customWidth="1"/>
    <col min="6" max="6" width="15" style="168" hidden="1" customWidth="1"/>
    <col min="7" max="7" width="14.83203125" style="168" customWidth="1"/>
    <col min="8" max="8" width="6.83203125" style="168" hidden="1" customWidth="1"/>
    <col min="9" max="10" width="10.6640625" style="168" bestFit="1" customWidth="1"/>
    <col min="11" max="11" width="9.33203125" style="216"/>
    <col min="12" max="15" width="9.33203125" style="168"/>
    <col min="16" max="16" width="15.83203125" style="168" customWidth="1"/>
    <col min="17" max="17" width="20.33203125" style="168" customWidth="1"/>
    <col min="18" max="18" width="10.5" style="168" customWidth="1"/>
    <col min="19" max="16384" width="9.33203125" style="168"/>
  </cols>
  <sheetData>
    <row r="1" spans="1:12" ht="48" customHeight="1" x14ac:dyDescent="0.2">
      <c r="A1" s="1549" t="s">
        <v>150</v>
      </c>
      <c r="B1" s="1549"/>
      <c r="C1" s="1549"/>
      <c r="D1" s="224" t="s">
        <v>122</v>
      </c>
      <c r="E1" s="171" t="s">
        <v>1032</v>
      </c>
      <c r="F1" s="171" t="s">
        <v>1331</v>
      </c>
      <c r="G1" s="171" t="s">
        <v>1421</v>
      </c>
      <c r="H1" s="171" t="s">
        <v>1</v>
      </c>
    </row>
    <row r="2" spans="1:12" ht="20.25" x14ac:dyDescent="0.3">
      <c r="A2" s="1550" t="s">
        <v>270</v>
      </c>
      <c r="B2" s="1550"/>
      <c r="C2" s="1550"/>
      <c r="D2" s="1550"/>
      <c r="E2" s="1550"/>
      <c r="F2" s="225"/>
      <c r="G2" s="225"/>
      <c r="H2" s="225"/>
      <c r="K2" s="168"/>
    </row>
    <row r="3" spans="1:12" ht="19.5" customHeight="1" x14ac:dyDescent="0.25">
      <c r="A3" s="1285" t="s">
        <v>1786</v>
      </c>
      <c r="B3" s="1285"/>
      <c r="C3" s="1285"/>
      <c r="D3" s="1285"/>
      <c r="E3" s="226"/>
      <c r="F3" s="226"/>
      <c r="G3" s="1285"/>
      <c r="H3" s="226"/>
      <c r="I3" s="227"/>
      <c r="J3" s="227"/>
      <c r="K3" s="227"/>
    </row>
    <row r="4" spans="1:12" ht="15" x14ac:dyDescent="0.25">
      <c r="A4" s="228"/>
      <c r="B4" s="229" t="s">
        <v>50</v>
      </c>
      <c r="C4" s="230"/>
      <c r="D4" s="231" t="s">
        <v>272</v>
      </c>
      <c r="E4" s="176">
        <f>SUM(E5:E6)</f>
        <v>0</v>
      </c>
      <c r="F4" s="176">
        <f>SUM(F5:F6)</f>
        <v>0</v>
      </c>
      <c r="G4" s="176">
        <f>SUM(G5:G6)</f>
        <v>0</v>
      </c>
      <c r="H4" s="176"/>
      <c r="L4" s="216"/>
    </row>
    <row r="5" spans="1:12" s="197" customFormat="1" ht="15" hidden="1" x14ac:dyDescent="0.25">
      <c r="A5" s="228"/>
      <c r="B5" s="232"/>
      <c r="C5" s="233" t="s">
        <v>75</v>
      </c>
      <c r="D5" s="203"/>
      <c r="E5" s="234"/>
      <c r="F5" s="234"/>
      <c r="G5" s="234"/>
      <c r="H5" s="234"/>
      <c r="K5" s="235"/>
      <c r="L5" s="235"/>
    </row>
    <row r="6" spans="1:12" ht="15" hidden="1" x14ac:dyDescent="0.25">
      <c r="A6" s="228"/>
      <c r="B6" s="232"/>
      <c r="C6" s="233" t="s">
        <v>76</v>
      </c>
      <c r="D6" s="203"/>
      <c r="E6" s="234"/>
      <c r="F6" s="234"/>
      <c r="G6" s="234"/>
      <c r="H6" s="234"/>
      <c r="L6" s="216"/>
    </row>
    <row r="7" spans="1:12" ht="15" x14ac:dyDescent="0.25">
      <c r="A7" s="190"/>
      <c r="B7" s="173" t="s">
        <v>52</v>
      </c>
      <c r="C7" s="174"/>
      <c r="D7" s="236" t="s">
        <v>1214</v>
      </c>
      <c r="E7" s="237">
        <f>E8+E11+E9</f>
        <v>6000</v>
      </c>
      <c r="F7" s="237">
        <f>F8+F11+F9</f>
        <v>6000</v>
      </c>
      <c r="G7" s="237">
        <f>G8+G11+G9</f>
        <v>3000</v>
      </c>
      <c r="H7" s="237"/>
      <c r="L7" s="216"/>
    </row>
    <row r="8" spans="1:12" s="189" customFormat="1" ht="15" hidden="1" x14ac:dyDescent="0.25">
      <c r="A8" s="238"/>
      <c r="B8" s="239"/>
      <c r="C8" s="240" t="s">
        <v>77</v>
      </c>
      <c r="D8" s="241"/>
      <c r="E8" s="242"/>
      <c r="F8" s="242"/>
      <c r="G8" s="242"/>
      <c r="H8" s="242"/>
      <c r="K8" s="243"/>
      <c r="L8" s="243"/>
    </row>
    <row r="9" spans="1:12" s="197" customFormat="1" ht="15" hidden="1" x14ac:dyDescent="0.25">
      <c r="A9" s="190"/>
      <c r="B9" s="244"/>
      <c r="C9" s="233" t="s">
        <v>78</v>
      </c>
      <c r="D9" s="203"/>
      <c r="E9" s="192"/>
      <c r="F9" s="192"/>
      <c r="G9" s="192"/>
      <c r="H9" s="192"/>
      <c r="K9" s="235"/>
      <c r="L9" s="235"/>
    </row>
    <row r="10" spans="1:12" s="197" customFormat="1" ht="15" hidden="1" x14ac:dyDescent="0.25">
      <c r="A10" s="190"/>
      <c r="B10" s="244"/>
      <c r="C10" s="245" t="s">
        <v>78</v>
      </c>
      <c r="D10" s="203" t="s">
        <v>274</v>
      </c>
      <c r="E10" s="192"/>
      <c r="F10" s="192"/>
      <c r="G10" s="192"/>
      <c r="H10" s="192"/>
      <c r="K10" s="235"/>
      <c r="L10" s="235"/>
    </row>
    <row r="11" spans="1:12" s="189" customFormat="1" ht="15" x14ac:dyDescent="0.25">
      <c r="A11" s="184"/>
      <c r="B11" s="185"/>
      <c r="C11" s="233" t="s">
        <v>185</v>
      </c>
      <c r="D11" s="203" t="s">
        <v>1215</v>
      </c>
      <c r="E11" s="192">
        <f>E12</f>
        <v>6000</v>
      </c>
      <c r="F11" s="192">
        <f>F12</f>
        <v>6000</v>
      </c>
      <c r="G11" s="249">
        <f>G12</f>
        <v>3000</v>
      </c>
      <c r="H11" s="192"/>
      <c r="K11" s="243"/>
      <c r="L11" s="243"/>
    </row>
    <row r="12" spans="1:12" ht="15" x14ac:dyDescent="0.25">
      <c r="A12" s="190"/>
      <c r="B12" s="173"/>
      <c r="C12" s="246" t="s">
        <v>275</v>
      </c>
      <c r="D12" s="247" t="s">
        <v>1216</v>
      </c>
      <c r="E12" s="754">
        <v>6000</v>
      </c>
      <c r="F12" s="248">
        <v>6000</v>
      </c>
      <c r="G12" s="248">
        <v>3000</v>
      </c>
      <c r="H12" s="248"/>
    </row>
    <row r="13" spans="1:12" ht="15" x14ac:dyDescent="0.25">
      <c r="A13" s="190"/>
      <c r="B13" s="173" t="s">
        <v>54</v>
      </c>
      <c r="C13" s="174"/>
      <c r="D13" s="236" t="s">
        <v>86</v>
      </c>
      <c r="E13" s="237">
        <f>E14+E19</f>
        <v>131841</v>
      </c>
      <c r="F13" s="237">
        <f>F14+F19</f>
        <v>119727</v>
      </c>
      <c r="G13" s="237">
        <f>G14+G19+G21</f>
        <v>154830</v>
      </c>
      <c r="H13" s="237">
        <f t="shared" ref="H13:H118" si="0">G13/F13*100</f>
        <v>129.31920118269062</v>
      </c>
      <c r="L13" s="216"/>
    </row>
    <row r="14" spans="1:12" s="189" customFormat="1" ht="15" x14ac:dyDescent="0.25">
      <c r="A14" s="184"/>
      <c r="B14" s="185"/>
      <c r="C14" s="186" t="s">
        <v>277</v>
      </c>
      <c r="D14" s="1316" t="s">
        <v>278</v>
      </c>
      <c r="E14" s="188">
        <f>SUM(E15:E18)</f>
        <v>127841</v>
      </c>
      <c r="F14" s="188">
        <f>SUM(F15:F18)</f>
        <v>115727</v>
      </c>
      <c r="G14" s="188">
        <f>SUM(G15:G18)</f>
        <v>146600</v>
      </c>
      <c r="H14" s="188">
        <f t="shared" si="0"/>
        <v>126.67743914557536</v>
      </c>
      <c r="K14" s="243"/>
      <c r="L14" s="243"/>
    </row>
    <row r="15" spans="1:12" ht="15" x14ac:dyDescent="0.25">
      <c r="A15" s="190"/>
      <c r="B15" s="173"/>
      <c r="C15" s="245" t="s">
        <v>279</v>
      </c>
      <c r="D15" s="191" t="s">
        <v>1477</v>
      </c>
      <c r="E15" s="192">
        <v>50000</v>
      </c>
      <c r="F15" s="192">
        <v>50000</v>
      </c>
      <c r="G15" s="192">
        <v>71600</v>
      </c>
      <c r="H15" s="192">
        <f t="shared" si="0"/>
        <v>143.19999999999999</v>
      </c>
      <c r="L15" s="216"/>
    </row>
    <row r="16" spans="1:12" ht="15" x14ac:dyDescent="0.25">
      <c r="A16" s="190"/>
      <c r="B16" s="173"/>
      <c r="C16" s="245" t="s">
        <v>280</v>
      </c>
      <c r="D16" s="191" t="s">
        <v>281</v>
      </c>
      <c r="E16" s="192">
        <v>15000</v>
      </c>
      <c r="F16" s="192">
        <v>2336</v>
      </c>
      <c r="G16" s="192">
        <v>15000</v>
      </c>
      <c r="H16" s="192"/>
      <c r="L16" s="216"/>
    </row>
    <row r="17" spans="1:12" ht="15" customHeight="1" x14ac:dyDescent="0.25">
      <c r="A17" s="748"/>
      <c r="B17" s="749"/>
      <c r="C17" s="750" t="s">
        <v>282</v>
      </c>
      <c r="D17" s="751" t="s">
        <v>283</v>
      </c>
      <c r="E17" s="744">
        <v>32000</v>
      </c>
      <c r="F17" s="249">
        <v>32000</v>
      </c>
      <c r="G17" s="249">
        <v>30000</v>
      </c>
      <c r="H17" s="249">
        <f t="shared" si="0"/>
        <v>93.75</v>
      </c>
    </row>
    <row r="18" spans="1:12" s="752" customFormat="1" ht="15" customHeight="1" x14ac:dyDescent="0.25">
      <c r="A18" s="748"/>
      <c r="B18" s="749"/>
      <c r="C18" s="750" t="s">
        <v>284</v>
      </c>
      <c r="D18" s="751" t="s">
        <v>1028</v>
      </c>
      <c r="E18" s="744">
        <v>30841</v>
      </c>
      <c r="F18" s="744">
        <v>31391</v>
      </c>
      <c r="G18" s="744">
        <v>30000</v>
      </c>
      <c r="H18" s="744">
        <f t="shared" si="0"/>
        <v>95.56879360326208</v>
      </c>
      <c r="K18" s="753"/>
    </row>
    <row r="19" spans="1:12" s="189" customFormat="1" ht="14.25" customHeight="1" x14ac:dyDescent="0.25">
      <c r="A19" s="184"/>
      <c r="B19" s="185"/>
      <c r="C19" s="186" t="s">
        <v>285</v>
      </c>
      <c r="D19" s="187" t="s">
        <v>286</v>
      </c>
      <c r="E19" s="188">
        <f>E20</f>
        <v>4000</v>
      </c>
      <c r="F19" s="188">
        <f>F20</f>
        <v>4000</v>
      </c>
      <c r="G19" s="188">
        <f>G20</f>
        <v>2000</v>
      </c>
      <c r="H19" s="188"/>
      <c r="K19" s="243"/>
      <c r="L19" s="243"/>
    </row>
    <row r="20" spans="1:12" ht="15" x14ac:dyDescent="0.25">
      <c r="A20" s="190"/>
      <c r="B20" s="173"/>
      <c r="C20" s="245" t="s">
        <v>189</v>
      </c>
      <c r="D20" s="250" t="s">
        <v>287</v>
      </c>
      <c r="E20" s="192">
        <v>4000</v>
      </c>
      <c r="F20" s="192">
        <v>4000</v>
      </c>
      <c r="G20" s="192">
        <v>2000</v>
      </c>
      <c r="H20" s="192"/>
    </row>
    <row r="21" spans="1:12" ht="15" x14ac:dyDescent="0.25">
      <c r="A21" s="1259"/>
      <c r="B21" s="1426"/>
      <c r="C21" s="186" t="s">
        <v>1369</v>
      </c>
      <c r="D21" s="1316" t="s">
        <v>442</v>
      </c>
      <c r="E21" s="1427"/>
      <c r="F21" s="1262"/>
      <c r="G21" s="188">
        <f>SUM(G22:G26)</f>
        <v>6230</v>
      </c>
      <c r="H21" s="1262"/>
    </row>
    <row r="22" spans="1:12" ht="15" x14ac:dyDescent="0.25">
      <c r="A22" s="1259"/>
      <c r="B22" s="1426"/>
      <c r="C22" s="275" t="s">
        <v>206</v>
      </c>
      <c r="D22" s="757" t="s">
        <v>443</v>
      </c>
      <c r="E22" s="1427"/>
      <c r="F22" s="1262"/>
      <c r="G22" s="249">
        <v>1900</v>
      </c>
      <c r="H22" s="1262"/>
    </row>
    <row r="23" spans="1:12" ht="15" x14ac:dyDescent="0.25">
      <c r="A23" s="1259"/>
      <c r="B23" s="1426"/>
      <c r="C23" s="275" t="s">
        <v>218</v>
      </c>
      <c r="D23" s="757" t="s">
        <v>444</v>
      </c>
      <c r="E23" s="1427"/>
      <c r="F23" s="1262"/>
      <c r="G23" s="249">
        <v>600</v>
      </c>
      <c r="H23" s="1262"/>
    </row>
    <row r="24" spans="1:12" ht="15" x14ac:dyDescent="0.25">
      <c r="A24" s="1259"/>
      <c r="B24" s="1426"/>
      <c r="C24" s="275" t="s">
        <v>1787</v>
      </c>
      <c r="D24" s="757" t="s">
        <v>445</v>
      </c>
      <c r="E24" s="1427"/>
      <c r="F24" s="1262"/>
      <c r="G24" s="249">
        <v>880</v>
      </c>
      <c r="H24" s="1262"/>
    </row>
    <row r="25" spans="1:12" ht="15" x14ac:dyDescent="0.25">
      <c r="A25" s="1259"/>
      <c r="B25" s="1426"/>
      <c r="C25" s="275" t="s">
        <v>1788</v>
      </c>
      <c r="D25" s="757" t="s">
        <v>446</v>
      </c>
      <c r="E25" s="1427"/>
      <c r="F25" s="1262"/>
      <c r="G25" s="249">
        <v>1975</v>
      </c>
      <c r="H25" s="1262"/>
    </row>
    <row r="26" spans="1:12" ht="15" x14ac:dyDescent="0.25">
      <c r="A26" s="1259"/>
      <c r="B26" s="1426"/>
      <c r="C26" s="275" t="s">
        <v>1789</v>
      </c>
      <c r="D26" s="757" t="s">
        <v>447</v>
      </c>
      <c r="E26" s="1427"/>
      <c r="F26" s="1262"/>
      <c r="G26" s="249">
        <v>875</v>
      </c>
      <c r="H26" s="1262"/>
    </row>
    <row r="27" spans="1:12" s="251" customFormat="1" ht="14.25" x14ac:dyDescent="0.2">
      <c r="A27" s="172"/>
      <c r="B27" s="173" t="s">
        <v>225</v>
      </c>
      <c r="C27" s="174"/>
      <c r="D27" s="236" t="s">
        <v>59</v>
      </c>
      <c r="F27" s="237">
        <f>SUM(F28:F31)</f>
        <v>5553</v>
      </c>
      <c r="G27" s="237">
        <f>SUM(G28:G31)</f>
        <v>99285</v>
      </c>
      <c r="H27" s="237">
        <f t="shared" si="0"/>
        <v>1787.9524581307401</v>
      </c>
      <c r="K27" s="252"/>
      <c r="L27" s="252"/>
    </row>
    <row r="28" spans="1:12" s="258" customFormat="1" ht="29.25" hidden="1" customHeight="1" x14ac:dyDescent="0.25">
      <c r="A28" s="253"/>
      <c r="B28" s="254"/>
      <c r="C28" s="255" t="s">
        <v>225</v>
      </c>
      <c r="D28" s="256" t="s">
        <v>1217</v>
      </c>
      <c r="E28" s="257"/>
      <c r="F28" s="257">
        <v>2636</v>
      </c>
      <c r="G28" s="249"/>
      <c r="H28" s="257">
        <f>G28/F28*100</f>
        <v>0</v>
      </c>
      <c r="K28" s="259"/>
      <c r="L28" s="259"/>
    </row>
    <row r="29" spans="1:12" s="251" customFormat="1" ht="29.25" hidden="1" customHeight="1" x14ac:dyDescent="0.25">
      <c r="A29" s="172"/>
      <c r="B29" s="173"/>
      <c r="C29" s="245"/>
      <c r="D29" s="250"/>
      <c r="E29" s="192">
        <f>SUM('4. sz. mell.'!D23)</f>
        <v>0</v>
      </c>
      <c r="F29" s="192">
        <v>1000</v>
      </c>
      <c r="G29" s="249"/>
      <c r="H29" s="192">
        <f>G29/F29*100</f>
        <v>0</v>
      </c>
      <c r="K29" s="252"/>
      <c r="L29" s="252"/>
    </row>
    <row r="30" spans="1:12" s="251" customFormat="1" ht="18" customHeight="1" x14ac:dyDescent="0.25">
      <c r="A30" s="967"/>
      <c r="B30" s="968"/>
      <c r="C30" s="255" t="s">
        <v>225</v>
      </c>
      <c r="D30" s="969" t="s">
        <v>1428</v>
      </c>
      <c r="E30" s="970"/>
      <c r="F30" s="970">
        <v>1917</v>
      </c>
      <c r="G30" s="1120">
        <v>99285</v>
      </c>
      <c r="H30" s="970"/>
      <c r="K30" s="252"/>
      <c r="L30" s="252"/>
    </row>
    <row r="31" spans="1:12" s="251" customFormat="1" ht="29.25" hidden="1" customHeight="1" x14ac:dyDescent="0.25">
      <c r="A31" s="967"/>
      <c r="B31" s="968"/>
      <c r="C31" s="245" t="s">
        <v>289</v>
      </c>
      <c r="D31" s="969" t="s">
        <v>1379</v>
      </c>
      <c r="E31" s="970"/>
      <c r="F31" s="970"/>
      <c r="G31" s="970"/>
      <c r="H31" s="970"/>
      <c r="K31" s="252"/>
      <c r="L31" s="252"/>
    </row>
    <row r="32" spans="1:12" s="251" customFormat="1" ht="19.5" customHeight="1" x14ac:dyDescent="0.25">
      <c r="A32" s="1285" t="s">
        <v>1785</v>
      </c>
      <c r="B32" s="1285"/>
      <c r="C32" s="1285"/>
      <c r="D32" s="1285"/>
      <c r="E32" s="1238"/>
      <c r="F32" s="1238"/>
      <c r="G32" s="1285"/>
      <c r="H32" s="1238"/>
      <c r="K32" s="252"/>
      <c r="L32" s="252"/>
    </row>
    <row r="33" spans="1:12" s="251" customFormat="1" ht="15" x14ac:dyDescent="0.25">
      <c r="A33" s="172"/>
      <c r="B33" s="173" t="s">
        <v>227</v>
      </c>
      <c r="C33" s="245"/>
      <c r="D33" s="236" t="s">
        <v>1543</v>
      </c>
      <c r="E33" s="237">
        <f>SUM(E34:E38)</f>
        <v>1251895</v>
      </c>
      <c r="F33" s="237" t="e">
        <f>SUM(F34:F38)</f>
        <v>#REF!</v>
      </c>
      <c r="G33" s="237">
        <f>SUM(G34:G38)</f>
        <v>1356523</v>
      </c>
      <c r="H33" s="237" t="e">
        <f>G33/F33*100</f>
        <v>#REF!</v>
      </c>
      <c r="K33" s="252"/>
      <c r="L33" s="252"/>
    </row>
    <row r="34" spans="1:12" s="251" customFormat="1" ht="29.25" customHeight="1" x14ac:dyDescent="0.25">
      <c r="A34" s="260"/>
      <c r="B34" s="261"/>
      <c r="C34" s="262" t="s">
        <v>60</v>
      </c>
      <c r="D34" s="250" t="s">
        <v>1218</v>
      </c>
      <c r="E34" s="249">
        <f>SUM('5.10 sz. mell '!D39)</f>
        <v>26133</v>
      </c>
      <c r="F34" s="249">
        <f>'5.10 sz. mell '!E39</f>
        <v>26791</v>
      </c>
      <c r="G34" s="249">
        <f>'5.10 sz. mell '!F39</f>
        <v>104800</v>
      </c>
      <c r="H34" s="249">
        <f t="shared" si="0"/>
        <v>391.17614124146172</v>
      </c>
      <c r="K34" s="252"/>
      <c r="L34" s="252"/>
    </row>
    <row r="35" spans="1:12" s="251" customFormat="1" ht="29.25" customHeight="1" x14ac:dyDescent="0.25">
      <c r="A35" s="172"/>
      <c r="B35" s="173"/>
      <c r="C35" s="245" t="s">
        <v>511</v>
      </c>
      <c r="D35" s="250" t="s">
        <v>1872</v>
      </c>
      <c r="E35" s="192">
        <f>'5. sz. mell. '!D39-'5.10 sz. mell '!D39</f>
        <v>195212</v>
      </c>
      <c r="F35" s="192" t="e">
        <f>'5. sz. mell. '!E39-'5.10 sz. mell '!E39+'5. sz. mell. '!#REF!</f>
        <v>#REF!</v>
      </c>
      <c r="G35" s="192">
        <f>'5. sz. mell. '!F39-'5.10 sz. mell '!F39</f>
        <v>653644</v>
      </c>
      <c r="H35" s="192" t="e">
        <f t="shared" si="0"/>
        <v>#REF!</v>
      </c>
      <c r="I35" s="252"/>
      <c r="J35" s="252"/>
      <c r="K35" s="252"/>
      <c r="L35" s="252"/>
    </row>
    <row r="36" spans="1:12" s="251" customFormat="1" ht="29.25" customHeight="1" x14ac:dyDescent="0.25">
      <c r="A36" s="172"/>
      <c r="B36" s="173"/>
      <c r="C36" s="245" t="s">
        <v>1545</v>
      </c>
      <c r="D36" s="250" t="s">
        <v>1219</v>
      </c>
      <c r="E36" s="192">
        <v>427277</v>
      </c>
      <c r="F36" s="192">
        <f>SUM('5. sz. mell. '!E22)</f>
        <v>385318</v>
      </c>
      <c r="G36" s="192">
        <f>SUM('5. sz. mell. '!F22)</f>
        <v>0</v>
      </c>
      <c r="H36" s="192">
        <f t="shared" si="0"/>
        <v>0</v>
      </c>
      <c r="K36" s="252"/>
      <c r="L36" s="252"/>
    </row>
    <row r="37" spans="1:12" s="251" customFormat="1" ht="29.25" customHeight="1" x14ac:dyDescent="0.25">
      <c r="A37" s="172"/>
      <c r="B37" s="173"/>
      <c r="C37" s="245" t="s">
        <v>1546</v>
      </c>
      <c r="D37" s="250" t="s">
        <v>1220</v>
      </c>
      <c r="E37" s="192">
        <f>SUM('4. sz. mell.'!D39)</f>
        <v>548607</v>
      </c>
      <c r="F37" s="192">
        <f>SUM('4. sz. mell.'!E39)</f>
        <v>627509</v>
      </c>
      <c r="G37" s="192">
        <f>SUM('4. sz. mell.'!F39)</f>
        <v>598079</v>
      </c>
      <c r="H37" s="192">
        <f t="shared" si="0"/>
        <v>95.310027425901453</v>
      </c>
      <c r="K37" s="252"/>
      <c r="L37" s="252"/>
    </row>
    <row r="38" spans="1:12" s="251" customFormat="1" ht="29.25" customHeight="1" x14ac:dyDescent="0.25">
      <c r="A38" s="172"/>
      <c r="B38" s="173"/>
      <c r="C38" s="245" t="s">
        <v>1547</v>
      </c>
      <c r="D38" s="250" t="s">
        <v>1221</v>
      </c>
      <c r="E38" s="192">
        <f>SUM('4. sz. mell.'!D20)</f>
        <v>54666</v>
      </c>
      <c r="F38" s="192">
        <f>SUM('4. sz. mell.'!E20)</f>
        <v>110160</v>
      </c>
      <c r="G38" s="192">
        <f>SUM('4. sz. mell.'!F20)</f>
        <v>0</v>
      </c>
      <c r="H38" s="192">
        <f t="shared" si="0"/>
        <v>0</v>
      </c>
      <c r="K38" s="252"/>
      <c r="L38" s="252"/>
    </row>
    <row r="39" spans="1:12" hidden="1" x14ac:dyDescent="0.2"/>
    <row r="40" spans="1:12" s="251" customFormat="1" ht="16.5" x14ac:dyDescent="0.25">
      <c r="A40" s="1285" t="s">
        <v>1544</v>
      </c>
      <c r="B40" s="1285"/>
      <c r="C40" s="1285"/>
      <c r="D40" s="1285"/>
      <c r="E40" s="237"/>
      <c r="F40" s="237"/>
      <c r="G40" s="1285"/>
      <c r="H40" s="237"/>
      <c r="K40" s="252"/>
      <c r="L40" s="252"/>
    </row>
    <row r="41" spans="1:12" s="251" customFormat="1" ht="14.25" x14ac:dyDescent="0.2">
      <c r="A41" s="172"/>
      <c r="B41" s="173" t="s">
        <v>228</v>
      </c>
      <c r="C41" s="174"/>
      <c r="D41" s="236" t="s">
        <v>1548</v>
      </c>
      <c r="E41" s="237">
        <f>E42+E55+E115+E97</f>
        <v>101646</v>
      </c>
      <c r="F41" s="237">
        <f>F42+F55+F115+F97</f>
        <v>156236</v>
      </c>
      <c r="G41" s="237">
        <f>G42+G55+G115+G97</f>
        <v>89231</v>
      </c>
      <c r="H41" s="237">
        <f t="shared" si="0"/>
        <v>57.112957320975951</v>
      </c>
      <c r="K41" s="252"/>
      <c r="L41" s="252"/>
    </row>
    <row r="42" spans="1:12" s="251" customFormat="1" ht="14.25" x14ac:dyDescent="0.2">
      <c r="A42" s="172"/>
      <c r="B42" s="173"/>
      <c r="C42" s="174" t="s">
        <v>290</v>
      </c>
      <c r="D42" s="236" t="s">
        <v>291</v>
      </c>
      <c r="E42" s="237">
        <f>SUM(E43:E52)-E46-E50</f>
        <v>16800</v>
      </c>
      <c r="F42" s="237">
        <f>SUM(F43:F52)-F46-F50</f>
        <v>26500</v>
      </c>
      <c r="G42" s="237">
        <f>SUM(G43:G52)-G46-G50</f>
        <v>16800</v>
      </c>
      <c r="H42" s="237">
        <f t="shared" si="0"/>
        <v>63.39622641509434</v>
      </c>
      <c r="K42" s="252"/>
    </row>
    <row r="43" spans="1:12" ht="15" x14ac:dyDescent="0.25">
      <c r="A43" s="172"/>
      <c r="B43" s="173"/>
      <c r="C43" s="245" t="s">
        <v>292</v>
      </c>
      <c r="D43" s="264" t="s">
        <v>293</v>
      </c>
      <c r="E43" s="192">
        <v>1700</v>
      </c>
      <c r="F43" s="192">
        <v>3400</v>
      </c>
      <c r="G43" s="192">
        <v>1700</v>
      </c>
      <c r="H43" s="192">
        <f t="shared" si="0"/>
        <v>50</v>
      </c>
    </row>
    <row r="44" spans="1:12" ht="15" x14ac:dyDescent="0.25">
      <c r="A44" s="172"/>
      <c r="B44" s="173"/>
      <c r="C44" s="245" t="s">
        <v>294</v>
      </c>
      <c r="D44" s="264" t="s">
        <v>295</v>
      </c>
      <c r="E44" s="192">
        <v>200</v>
      </c>
      <c r="F44" s="192">
        <v>200</v>
      </c>
      <c r="G44" s="192">
        <v>200</v>
      </c>
      <c r="H44" s="192">
        <f t="shared" si="0"/>
        <v>100</v>
      </c>
    </row>
    <row r="45" spans="1:12" ht="15" x14ac:dyDescent="0.25">
      <c r="A45" s="172"/>
      <c r="B45" s="173"/>
      <c r="C45" s="245" t="s">
        <v>296</v>
      </c>
      <c r="D45" s="264" t="s">
        <v>297</v>
      </c>
      <c r="E45" s="192">
        <v>6000</v>
      </c>
      <c r="F45" s="192">
        <v>6000</v>
      </c>
      <c r="G45" s="192">
        <v>6000</v>
      </c>
      <c r="H45" s="192">
        <f t="shared" si="0"/>
        <v>100</v>
      </c>
    </row>
    <row r="46" spans="1:12" ht="15" hidden="1" x14ac:dyDescent="0.25">
      <c r="A46" s="172"/>
      <c r="B46" s="173"/>
      <c r="C46" s="200" t="s">
        <v>298</v>
      </c>
      <c r="D46" s="264" t="s">
        <v>299</v>
      </c>
      <c r="E46" s="192"/>
      <c r="F46" s="192"/>
      <c r="G46" s="192"/>
      <c r="H46" s="192" t="e">
        <f t="shared" si="0"/>
        <v>#DIV/0!</v>
      </c>
    </row>
    <row r="47" spans="1:12" ht="15" x14ac:dyDescent="0.25">
      <c r="A47" s="172"/>
      <c r="B47" s="173"/>
      <c r="C47" s="245" t="s">
        <v>300</v>
      </c>
      <c r="D47" s="264" t="s">
        <v>301</v>
      </c>
      <c r="E47" s="192">
        <v>200</v>
      </c>
      <c r="F47" s="192">
        <v>200</v>
      </c>
      <c r="G47" s="192">
        <v>200</v>
      </c>
      <c r="H47" s="192">
        <f t="shared" si="0"/>
        <v>100</v>
      </c>
    </row>
    <row r="48" spans="1:12" ht="15" x14ac:dyDescent="0.25">
      <c r="A48" s="172"/>
      <c r="B48" s="173"/>
      <c r="C48" s="245" t="s">
        <v>302</v>
      </c>
      <c r="D48" s="264" t="s">
        <v>303</v>
      </c>
      <c r="E48" s="192">
        <v>200</v>
      </c>
      <c r="F48" s="192">
        <v>200</v>
      </c>
      <c r="G48" s="192">
        <v>200</v>
      </c>
      <c r="H48" s="192">
        <f t="shared" si="0"/>
        <v>100</v>
      </c>
    </row>
    <row r="49" spans="1:12" ht="15" x14ac:dyDescent="0.25">
      <c r="A49" s="172"/>
      <c r="B49" s="173"/>
      <c r="C49" s="245" t="s">
        <v>304</v>
      </c>
      <c r="D49" s="264" t="s">
        <v>305</v>
      </c>
      <c r="E49" s="192">
        <v>4000</v>
      </c>
      <c r="F49" s="192">
        <v>7000</v>
      </c>
      <c r="G49" s="192">
        <v>4000</v>
      </c>
      <c r="H49" s="192">
        <f t="shared" si="0"/>
        <v>57.142857142857139</v>
      </c>
    </row>
    <row r="50" spans="1:12" ht="15" hidden="1" x14ac:dyDescent="0.25">
      <c r="A50" s="172"/>
      <c r="B50" s="173"/>
      <c r="C50" s="245"/>
      <c r="D50" s="264"/>
      <c r="E50" s="192">
        <v>0</v>
      </c>
      <c r="F50" s="192"/>
      <c r="G50" s="192">
        <v>0</v>
      </c>
      <c r="H50" s="192" t="e">
        <f t="shared" si="0"/>
        <v>#DIV/0!</v>
      </c>
    </row>
    <row r="51" spans="1:12" ht="15" x14ac:dyDescent="0.25">
      <c r="A51" s="172"/>
      <c r="B51" s="173"/>
      <c r="C51" s="245" t="s">
        <v>306</v>
      </c>
      <c r="D51" s="264" t="s">
        <v>307</v>
      </c>
      <c r="E51" s="192">
        <v>500</v>
      </c>
      <c r="F51" s="192">
        <v>1000</v>
      </c>
      <c r="G51" s="192">
        <v>500</v>
      </c>
      <c r="H51" s="192">
        <f t="shared" si="0"/>
        <v>50</v>
      </c>
    </row>
    <row r="52" spans="1:12" ht="15" x14ac:dyDescent="0.25">
      <c r="A52" s="172"/>
      <c r="B52" s="173"/>
      <c r="C52" s="245" t="s">
        <v>308</v>
      </c>
      <c r="D52" s="264" t="s">
        <v>309</v>
      </c>
      <c r="E52" s="192">
        <f>SUM(E53:E54)</f>
        <v>4000</v>
      </c>
      <c r="F52" s="192">
        <v>8500</v>
      </c>
      <c r="G52" s="192">
        <f>SUM(G53:G54)</f>
        <v>4000</v>
      </c>
      <c r="H52" s="192">
        <f t="shared" si="0"/>
        <v>47.058823529411761</v>
      </c>
    </row>
    <row r="53" spans="1:12" ht="15" x14ac:dyDescent="0.25">
      <c r="A53" s="172"/>
      <c r="B53" s="173"/>
      <c r="C53" s="200" t="s">
        <v>310</v>
      </c>
      <c r="D53" s="1125" t="s">
        <v>311</v>
      </c>
      <c r="E53" s="196">
        <v>2500</v>
      </c>
      <c r="F53" s="196">
        <v>3000</v>
      </c>
      <c r="G53" s="196">
        <v>2500</v>
      </c>
      <c r="H53" s="192">
        <f t="shared" si="0"/>
        <v>83.333333333333343</v>
      </c>
    </row>
    <row r="54" spans="1:12" ht="15" x14ac:dyDescent="0.25">
      <c r="A54" s="172"/>
      <c r="B54" s="173"/>
      <c r="C54" s="200" t="s">
        <v>312</v>
      </c>
      <c r="D54" s="1125" t="s">
        <v>1226</v>
      </c>
      <c r="E54" s="196">
        <v>1500</v>
      </c>
      <c r="F54" s="196">
        <v>1500</v>
      </c>
      <c r="G54" s="196">
        <v>1500</v>
      </c>
      <c r="H54" s="192"/>
    </row>
    <row r="55" spans="1:12" s="251" customFormat="1" ht="14.25" x14ac:dyDescent="0.2">
      <c r="A55" s="172"/>
      <c r="B55" s="173"/>
      <c r="C55" s="174" t="s">
        <v>313</v>
      </c>
      <c r="D55" s="236" t="s">
        <v>314</v>
      </c>
      <c r="E55" s="237">
        <f>SUM(E56:E66)-E57-E58-E59-E64</f>
        <v>43620</v>
      </c>
      <c r="F55" s="237">
        <f>SUM(F56:F96)-F57-F58-F59-F64</f>
        <v>75397</v>
      </c>
      <c r="G55" s="237">
        <f>SUM(G56:G96)-G57-G58-G59-G64</f>
        <v>44620</v>
      </c>
      <c r="H55" s="237">
        <f t="shared" si="0"/>
        <v>59.180073477724584</v>
      </c>
      <c r="K55" s="252"/>
    </row>
    <row r="56" spans="1:12" ht="15" x14ac:dyDescent="0.25">
      <c r="A56" s="172"/>
      <c r="B56" s="173"/>
      <c r="C56" s="245" t="s">
        <v>315</v>
      </c>
      <c r="D56" s="264" t="s">
        <v>316</v>
      </c>
      <c r="E56" s="196">
        <f>SUM(E57:E59)</f>
        <v>24500</v>
      </c>
      <c r="F56" s="196">
        <f t="shared" ref="F56:G56" si="1">SUM(F57:F59)</f>
        <v>34650</v>
      </c>
      <c r="G56" s="196">
        <f t="shared" si="1"/>
        <v>24500</v>
      </c>
      <c r="H56" s="196">
        <f t="shared" si="0"/>
        <v>70.707070707070713</v>
      </c>
    </row>
    <row r="57" spans="1:12" ht="15" x14ac:dyDescent="0.25">
      <c r="A57" s="172"/>
      <c r="B57" s="173"/>
      <c r="C57" s="245" t="s">
        <v>317</v>
      </c>
      <c r="D57" s="264" t="s">
        <v>1041</v>
      </c>
      <c r="E57" s="192">
        <v>17000</v>
      </c>
      <c r="F57" s="192">
        <v>27000</v>
      </c>
      <c r="G57" s="192">
        <v>17000</v>
      </c>
      <c r="H57" s="192">
        <f t="shared" si="0"/>
        <v>62.962962962962962</v>
      </c>
    </row>
    <row r="58" spans="1:12" ht="15" x14ac:dyDescent="0.25">
      <c r="A58" s="172"/>
      <c r="B58" s="173"/>
      <c r="C58" s="245" t="s">
        <v>318</v>
      </c>
      <c r="D58" s="264" t="s">
        <v>319</v>
      </c>
      <c r="E58" s="192">
        <v>7500</v>
      </c>
      <c r="F58" s="192">
        <v>7650</v>
      </c>
      <c r="G58" s="192">
        <v>7500</v>
      </c>
      <c r="H58" s="192">
        <f t="shared" si="0"/>
        <v>98.039215686274503</v>
      </c>
    </row>
    <row r="59" spans="1:12" ht="15" hidden="1" x14ac:dyDescent="0.25">
      <c r="A59" s="172"/>
      <c r="B59" s="173"/>
      <c r="C59" s="245" t="s">
        <v>320</v>
      </c>
      <c r="D59" s="264" t="s">
        <v>321</v>
      </c>
      <c r="E59" s="192"/>
      <c r="F59" s="192"/>
      <c r="G59" s="192"/>
      <c r="H59" s="192" t="e">
        <f t="shared" si="0"/>
        <v>#DIV/0!</v>
      </c>
    </row>
    <row r="60" spans="1:12" ht="15" x14ac:dyDescent="0.25">
      <c r="A60" s="172"/>
      <c r="B60" s="173"/>
      <c r="C60" s="245" t="s">
        <v>322</v>
      </c>
      <c r="D60" s="264" t="s">
        <v>323</v>
      </c>
      <c r="E60" s="192">
        <v>3500</v>
      </c>
      <c r="F60" s="192">
        <v>3500</v>
      </c>
      <c r="G60" s="192">
        <v>3500</v>
      </c>
      <c r="H60" s="192">
        <f t="shared" si="0"/>
        <v>100</v>
      </c>
      <c r="K60" s="216">
        <f>SUM(F60:F61)</f>
        <v>5000</v>
      </c>
      <c r="L60" s="216">
        <f>SUM(G60:G61)</f>
        <v>5000</v>
      </c>
    </row>
    <row r="61" spans="1:12" ht="15" x14ac:dyDescent="0.25">
      <c r="A61" s="172"/>
      <c r="B61" s="173"/>
      <c r="C61" s="245" t="s">
        <v>324</v>
      </c>
      <c r="D61" s="264" t="s">
        <v>1036</v>
      </c>
      <c r="E61" s="192">
        <v>1500</v>
      </c>
      <c r="F61" s="192">
        <v>1500</v>
      </c>
      <c r="G61" s="192">
        <v>1500</v>
      </c>
      <c r="H61" s="192">
        <f t="shared" si="0"/>
        <v>100</v>
      </c>
    </row>
    <row r="62" spans="1:12" ht="15" x14ac:dyDescent="0.25">
      <c r="A62" s="265"/>
      <c r="B62" s="266"/>
      <c r="C62" s="245" t="s">
        <v>325</v>
      </c>
      <c r="D62" s="267" t="s">
        <v>326</v>
      </c>
      <c r="E62" s="268">
        <v>7620</v>
      </c>
      <c r="F62" s="268">
        <v>7620</v>
      </c>
      <c r="G62" s="268">
        <v>7620</v>
      </c>
      <c r="H62" s="268">
        <f t="shared" si="0"/>
        <v>100</v>
      </c>
    </row>
    <row r="63" spans="1:12" ht="15" x14ac:dyDescent="0.25">
      <c r="A63" s="265"/>
      <c r="B63" s="266"/>
      <c r="C63" s="245" t="s">
        <v>327</v>
      </c>
      <c r="D63" s="269" t="s">
        <v>328</v>
      </c>
      <c r="E63" s="268">
        <v>6000</v>
      </c>
      <c r="F63" s="268">
        <v>6000</v>
      </c>
      <c r="G63" s="268">
        <v>6000</v>
      </c>
      <c r="H63" s="268">
        <f t="shared" si="0"/>
        <v>100</v>
      </c>
    </row>
    <row r="64" spans="1:12" ht="15" x14ac:dyDescent="0.25">
      <c r="A64" s="265"/>
      <c r="B64" s="266"/>
      <c r="C64" s="245" t="s">
        <v>329</v>
      </c>
      <c r="D64" s="270" t="s">
        <v>330</v>
      </c>
      <c r="E64" s="271">
        <v>2500</v>
      </c>
      <c r="F64" s="271">
        <v>2500</v>
      </c>
      <c r="G64" s="271">
        <v>2500</v>
      </c>
      <c r="H64" s="271">
        <f t="shared" si="0"/>
        <v>100</v>
      </c>
    </row>
    <row r="65" spans="1:8" ht="15" x14ac:dyDescent="0.25">
      <c r="A65" s="265"/>
      <c r="B65" s="266"/>
      <c r="C65" s="245" t="s">
        <v>331</v>
      </c>
      <c r="D65" s="267" t="s">
        <v>332</v>
      </c>
      <c r="E65" s="268">
        <v>500</v>
      </c>
      <c r="F65" s="268">
        <v>500</v>
      </c>
      <c r="G65" s="268">
        <v>500</v>
      </c>
      <c r="H65" s="268">
        <f t="shared" si="0"/>
        <v>100</v>
      </c>
    </row>
    <row r="66" spans="1:8" ht="15" x14ac:dyDescent="0.25">
      <c r="A66" s="265"/>
      <c r="B66" s="266"/>
      <c r="C66" s="245" t="s">
        <v>333</v>
      </c>
      <c r="D66" s="269" t="s">
        <v>1437</v>
      </c>
      <c r="E66" s="268"/>
      <c r="F66" s="268">
        <v>1630</v>
      </c>
      <c r="G66" s="268">
        <v>1000</v>
      </c>
      <c r="H66" s="268">
        <f t="shared" si="0"/>
        <v>61.349693251533743</v>
      </c>
    </row>
    <row r="67" spans="1:8" ht="15" hidden="1" x14ac:dyDescent="0.25">
      <c r="A67" s="265"/>
      <c r="B67" s="266"/>
      <c r="C67" s="245" t="s">
        <v>334</v>
      </c>
      <c r="D67" s="269" t="s">
        <v>335</v>
      </c>
      <c r="E67" s="268"/>
      <c r="F67" s="268">
        <v>50</v>
      </c>
      <c r="G67" s="268"/>
      <c r="H67" s="268">
        <f t="shared" si="0"/>
        <v>0</v>
      </c>
    </row>
    <row r="68" spans="1:8" ht="15" hidden="1" x14ac:dyDescent="0.25">
      <c r="A68" s="265"/>
      <c r="B68" s="266"/>
      <c r="C68" s="245" t="s">
        <v>336</v>
      </c>
      <c r="D68" s="269" t="s">
        <v>1277</v>
      </c>
      <c r="E68" s="268"/>
      <c r="F68" s="268">
        <v>200</v>
      </c>
      <c r="G68" s="268"/>
      <c r="H68" s="268">
        <f t="shared" si="0"/>
        <v>0</v>
      </c>
    </row>
    <row r="69" spans="1:8" ht="15" hidden="1" x14ac:dyDescent="0.25">
      <c r="A69" s="265"/>
      <c r="B69" s="266"/>
      <c r="C69" s="245" t="s">
        <v>337</v>
      </c>
      <c r="D69" s="269" t="s">
        <v>338</v>
      </c>
      <c r="E69" s="268"/>
      <c r="F69" s="268">
        <v>50</v>
      </c>
      <c r="G69" s="268"/>
      <c r="H69" s="268">
        <f t="shared" si="0"/>
        <v>0</v>
      </c>
    </row>
    <row r="70" spans="1:8" ht="15" hidden="1" x14ac:dyDescent="0.25">
      <c r="A70" s="265"/>
      <c r="B70" s="266"/>
      <c r="C70" s="245" t="s">
        <v>339</v>
      </c>
      <c r="D70" s="269" t="s">
        <v>340</v>
      </c>
      <c r="E70" s="268"/>
      <c r="F70" s="268">
        <v>1450</v>
      </c>
      <c r="G70" s="268"/>
      <c r="H70" s="268">
        <f t="shared" si="0"/>
        <v>0</v>
      </c>
    </row>
    <row r="71" spans="1:8" ht="15" hidden="1" x14ac:dyDescent="0.25">
      <c r="A71" s="265"/>
      <c r="B71" s="266"/>
      <c r="C71" s="245" t="s">
        <v>341</v>
      </c>
      <c r="D71" s="269" t="s">
        <v>342</v>
      </c>
      <c r="E71" s="268"/>
      <c r="F71" s="268">
        <v>50</v>
      </c>
      <c r="G71" s="268"/>
      <c r="H71" s="268">
        <f t="shared" si="0"/>
        <v>0</v>
      </c>
    </row>
    <row r="72" spans="1:8" ht="15" hidden="1" x14ac:dyDescent="0.25">
      <c r="A72" s="265"/>
      <c r="B72" s="266"/>
      <c r="C72" s="245" t="s">
        <v>343</v>
      </c>
      <c r="D72" s="269" t="s">
        <v>344</v>
      </c>
      <c r="E72" s="268"/>
      <c r="F72" s="268">
        <v>50</v>
      </c>
      <c r="G72" s="268"/>
      <c r="H72" s="268">
        <f t="shared" si="0"/>
        <v>0</v>
      </c>
    </row>
    <row r="73" spans="1:8" ht="15" hidden="1" x14ac:dyDescent="0.25">
      <c r="A73" s="265"/>
      <c r="B73" s="266"/>
      <c r="C73" s="245" t="s">
        <v>345</v>
      </c>
      <c r="D73" s="269" t="s">
        <v>346</v>
      </c>
      <c r="E73" s="268"/>
      <c r="F73" s="268">
        <v>80</v>
      </c>
      <c r="G73" s="268"/>
      <c r="H73" s="268">
        <f t="shared" si="0"/>
        <v>0</v>
      </c>
    </row>
    <row r="74" spans="1:8" ht="15" hidden="1" x14ac:dyDescent="0.25">
      <c r="A74" s="265"/>
      <c r="B74" s="266"/>
      <c r="C74" s="245" t="s">
        <v>347</v>
      </c>
      <c r="D74" s="269" t="s">
        <v>348</v>
      </c>
      <c r="E74" s="268"/>
      <c r="F74" s="268">
        <v>50</v>
      </c>
      <c r="G74" s="268"/>
      <c r="H74" s="268">
        <f t="shared" si="0"/>
        <v>0</v>
      </c>
    </row>
    <row r="75" spans="1:8" ht="15" hidden="1" x14ac:dyDescent="0.25">
      <c r="A75" s="265"/>
      <c r="B75" s="266"/>
      <c r="C75" s="245" t="s">
        <v>349</v>
      </c>
      <c r="D75" s="269" t="s">
        <v>350</v>
      </c>
      <c r="E75" s="268"/>
      <c r="F75" s="268">
        <v>50</v>
      </c>
      <c r="G75" s="268"/>
      <c r="H75" s="268">
        <f t="shared" si="0"/>
        <v>0</v>
      </c>
    </row>
    <row r="76" spans="1:8" ht="15" hidden="1" x14ac:dyDescent="0.25">
      <c r="A76" s="265"/>
      <c r="B76" s="266"/>
      <c r="C76" s="245" t="s">
        <v>351</v>
      </c>
      <c r="D76" s="269" t="s">
        <v>352</v>
      </c>
      <c r="E76" s="268"/>
      <c r="F76" s="268">
        <v>0</v>
      </c>
      <c r="G76" s="268"/>
      <c r="H76" s="268" t="e">
        <f t="shared" si="0"/>
        <v>#DIV/0!</v>
      </c>
    </row>
    <row r="77" spans="1:8" ht="15" hidden="1" x14ac:dyDescent="0.25">
      <c r="A77" s="265"/>
      <c r="B77" s="266"/>
      <c r="C77" s="245" t="s">
        <v>353</v>
      </c>
      <c r="D77" s="269" t="s">
        <v>354</v>
      </c>
      <c r="E77" s="268"/>
      <c r="F77" s="268">
        <v>120</v>
      </c>
      <c r="G77" s="268"/>
      <c r="H77" s="268">
        <f t="shared" si="0"/>
        <v>0</v>
      </c>
    </row>
    <row r="78" spans="1:8" ht="15" hidden="1" x14ac:dyDescent="0.25">
      <c r="A78" s="265"/>
      <c r="B78" s="266"/>
      <c r="C78" s="245" t="s">
        <v>355</v>
      </c>
      <c r="D78" s="269" t="s">
        <v>356</v>
      </c>
      <c r="E78" s="268"/>
      <c r="F78" s="268">
        <v>50</v>
      </c>
      <c r="G78" s="268"/>
      <c r="H78" s="268">
        <f t="shared" si="0"/>
        <v>0</v>
      </c>
    </row>
    <row r="79" spans="1:8" ht="15" hidden="1" x14ac:dyDescent="0.25">
      <c r="A79" s="265"/>
      <c r="B79" s="266"/>
      <c r="C79" s="245" t="s">
        <v>357</v>
      </c>
      <c r="D79" s="269" t="s">
        <v>358</v>
      </c>
      <c r="E79" s="268"/>
      <c r="F79" s="268">
        <v>50</v>
      </c>
      <c r="G79" s="268"/>
      <c r="H79" s="268">
        <f t="shared" si="0"/>
        <v>0</v>
      </c>
    </row>
    <row r="80" spans="1:8" ht="15" hidden="1" x14ac:dyDescent="0.25">
      <c r="A80" s="265"/>
      <c r="B80" s="266"/>
      <c r="C80" s="245" t="s">
        <v>359</v>
      </c>
      <c r="D80" s="269" t="s">
        <v>1276</v>
      </c>
      <c r="E80" s="268"/>
      <c r="F80" s="268">
        <v>267</v>
      </c>
      <c r="G80" s="268"/>
      <c r="H80" s="268">
        <f t="shared" si="0"/>
        <v>0</v>
      </c>
    </row>
    <row r="81" spans="1:8" ht="15" hidden="1" x14ac:dyDescent="0.25">
      <c r="A81" s="265"/>
      <c r="B81" s="266"/>
      <c r="C81" s="245" t="s">
        <v>360</v>
      </c>
      <c r="D81" s="269" t="s">
        <v>361</v>
      </c>
      <c r="E81" s="268"/>
      <c r="F81" s="268">
        <v>50</v>
      </c>
      <c r="G81" s="268"/>
      <c r="H81" s="268">
        <f t="shared" si="0"/>
        <v>0</v>
      </c>
    </row>
    <row r="82" spans="1:8" ht="15" hidden="1" x14ac:dyDescent="0.25">
      <c r="A82" s="265"/>
      <c r="B82" s="266"/>
      <c r="C82" s="245" t="s">
        <v>362</v>
      </c>
      <c r="D82" s="269" t="s">
        <v>363</v>
      </c>
      <c r="E82" s="268"/>
      <c r="F82" s="268">
        <v>50</v>
      </c>
      <c r="G82" s="268"/>
      <c r="H82" s="268">
        <f t="shared" si="0"/>
        <v>0</v>
      </c>
    </row>
    <row r="83" spans="1:8" ht="15" hidden="1" x14ac:dyDescent="0.25">
      <c r="A83" s="265"/>
      <c r="B83" s="266"/>
      <c r="C83" s="245" t="s">
        <v>364</v>
      </c>
      <c r="D83" s="269" t="s">
        <v>365</v>
      </c>
      <c r="E83" s="268"/>
      <c r="F83" s="268">
        <v>50</v>
      </c>
      <c r="G83" s="268"/>
      <c r="H83" s="268">
        <f t="shared" si="0"/>
        <v>0</v>
      </c>
    </row>
    <row r="84" spans="1:8" ht="15" hidden="1" x14ac:dyDescent="0.25">
      <c r="A84" s="265"/>
      <c r="B84" s="266"/>
      <c r="C84" s="245" t="s">
        <v>366</v>
      </c>
      <c r="D84" s="269" t="s">
        <v>367</v>
      </c>
      <c r="E84" s="268"/>
      <c r="F84" s="268">
        <v>50</v>
      </c>
      <c r="G84" s="268"/>
      <c r="H84" s="268">
        <f t="shared" si="0"/>
        <v>0</v>
      </c>
    </row>
    <row r="85" spans="1:8" ht="15" hidden="1" x14ac:dyDescent="0.25">
      <c r="A85" s="265"/>
      <c r="B85" s="266"/>
      <c r="C85" s="245" t="s">
        <v>368</v>
      </c>
      <c r="D85" s="269" t="s">
        <v>1280</v>
      </c>
      <c r="E85" s="268"/>
      <c r="F85" s="268">
        <v>10500</v>
      </c>
      <c r="G85" s="268"/>
      <c r="H85" s="268">
        <f t="shared" si="0"/>
        <v>0</v>
      </c>
    </row>
    <row r="86" spans="1:8" ht="15" hidden="1" x14ac:dyDescent="0.25">
      <c r="A86" s="265"/>
      <c r="B86" s="266"/>
      <c r="C86" s="245" t="s">
        <v>369</v>
      </c>
      <c r="D86" s="269" t="s">
        <v>370</v>
      </c>
      <c r="E86" s="268"/>
      <c r="F86" s="268">
        <v>6100</v>
      </c>
      <c r="G86" s="268"/>
      <c r="H86" s="268">
        <f t="shared" si="0"/>
        <v>0</v>
      </c>
    </row>
    <row r="87" spans="1:8" ht="15" hidden="1" x14ac:dyDescent="0.25">
      <c r="A87" s="265"/>
      <c r="B87" s="266"/>
      <c r="C87" s="245" t="s">
        <v>371</v>
      </c>
      <c r="D87" s="269" t="s">
        <v>1008</v>
      </c>
      <c r="E87" s="268"/>
      <c r="F87" s="268">
        <v>150</v>
      </c>
      <c r="G87" s="268"/>
      <c r="H87" s="268">
        <f t="shared" si="0"/>
        <v>0</v>
      </c>
    </row>
    <row r="88" spans="1:8" ht="15" hidden="1" x14ac:dyDescent="0.25">
      <c r="A88" s="265"/>
      <c r="B88" s="266"/>
      <c r="C88" s="245" t="s">
        <v>372</v>
      </c>
      <c r="D88" s="269" t="s">
        <v>1012</v>
      </c>
      <c r="E88" s="268"/>
      <c r="F88" s="268">
        <v>400</v>
      </c>
      <c r="G88" s="268"/>
      <c r="H88" s="268">
        <f t="shared" si="0"/>
        <v>0</v>
      </c>
    </row>
    <row r="89" spans="1:8" ht="15" hidden="1" x14ac:dyDescent="0.25">
      <c r="A89" s="265"/>
      <c r="B89" s="266"/>
      <c r="C89" s="245" t="s">
        <v>1005</v>
      </c>
      <c r="D89" s="269" t="s">
        <v>1366</v>
      </c>
      <c r="E89" s="268"/>
      <c r="F89" s="268">
        <v>130</v>
      </c>
      <c r="G89" s="268"/>
      <c r="H89" s="268">
        <f t="shared" ref="H89:H95" si="2">G89/F89*100</f>
        <v>0</v>
      </c>
    </row>
    <row r="90" spans="1:8" ht="15" hidden="1" x14ac:dyDescent="0.25">
      <c r="A90" s="265"/>
      <c r="B90" s="266"/>
      <c r="C90" s="245" t="s">
        <v>1006</v>
      </c>
      <c r="D90" s="269" t="s">
        <v>1366</v>
      </c>
      <c r="E90" s="268"/>
      <c r="F90" s="268"/>
      <c r="G90" s="268"/>
      <c r="H90" s="268" t="e">
        <f t="shared" si="2"/>
        <v>#DIV/0!</v>
      </c>
    </row>
    <row r="91" spans="1:8" ht="15" hidden="1" x14ac:dyDescent="0.25">
      <c r="A91" s="265"/>
      <c r="B91" s="266"/>
      <c r="C91" s="245" t="s">
        <v>1007</v>
      </c>
      <c r="D91" s="269" t="s">
        <v>1008</v>
      </c>
      <c r="E91" s="268"/>
      <c r="F91" s="268"/>
      <c r="G91" s="268"/>
      <c r="H91" s="268" t="e">
        <f t="shared" si="2"/>
        <v>#DIV/0!</v>
      </c>
    </row>
    <row r="92" spans="1:8" ht="15" hidden="1" x14ac:dyDescent="0.25">
      <c r="A92" s="265"/>
      <c r="B92" s="266"/>
      <c r="C92" s="245" t="s">
        <v>1009</v>
      </c>
      <c r="D92" s="269" t="s">
        <v>1010</v>
      </c>
      <c r="E92" s="268"/>
      <c r="F92" s="268"/>
      <c r="G92" s="268"/>
      <c r="H92" s="268" t="e">
        <f t="shared" si="2"/>
        <v>#DIV/0!</v>
      </c>
    </row>
    <row r="93" spans="1:8" ht="15" hidden="1" x14ac:dyDescent="0.25">
      <c r="A93" s="265"/>
      <c r="B93" s="266"/>
      <c r="C93" s="245" t="s">
        <v>1011</v>
      </c>
      <c r="D93" s="269" t="s">
        <v>1012</v>
      </c>
      <c r="E93" s="268"/>
      <c r="F93" s="268"/>
      <c r="G93" s="268"/>
      <c r="H93" s="268" t="e">
        <f t="shared" si="2"/>
        <v>#DIV/0!</v>
      </c>
    </row>
    <row r="94" spans="1:8" ht="15" hidden="1" x14ac:dyDescent="0.25">
      <c r="A94" s="265"/>
      <c r="B94" s="266"/>
      <c r="C94" s="245" t="s">
        <v>1013</v>
      </c>
      <c r="D94" s="269" t="s">
        <v>1014</v>
      </c>
      <c r="E94" s="268"/>
      <c r="F94" s="268"/>
      <c r="G94" s="268"/>
      <c r="H94" s="268" t="e">
        <f t="shared" si="2"/>
        <v>#DIV/0!</v>
      </c>
    </row>
    <row r="95" spans="1:8" ht="15" hidden="1" x14ac:dyDescent="0.25">
      <c r="A95" s="265"/>
      <c r="B95" s="266"/>
      <c r="C95" s="245" t="s">
        <v>1015</v>
      </c>
      <c r="D95" s="269" t="s">
        <v>1016</v>
      </c>
      <c r="E95" s="268"/>
      <c r="F95" s="268"/>
      <c r="G95" s="268"/>
      <c r="H95" s="268" t="e">
        <f t="shared" si="2"/>
        <v>#DIV/0!</v>
      </c>
    </row>
    <row r="96" spans="1:8" ht="15" hidden="1" x14ac:dyDescent="0.25">
      <c r="A96" s="265"/>
      <c r="B96" s="266"/>
      <c r="C96" s="245" t="s">
        <v>1017</v>
      </c>
      <c r="D96" s="269" t="s">
        <v>1018</v>
      </c>
      <c r="E96" s="268"/>
      <c r="F96" s="268"/>
      <c r="G96" s="268"/>
      <c r="H96" s="268" t="e">
        <f>G96/F96*100</f>
        <v>#DIV/0!</v>
      </c>
    </row>
    <row r="97" spans="1:8" ht="14.25" x14ac:dyDescent="0.2">
      <c r="A97" s="265"/>
      <c r="B97" s="266"/>
      <c r="C97" s="272" t="s">
        <v>373</v>
      </c>
      <c r="D97" s="273" t="s">
        <v>374</v>
      </c>
      <c r="E97" s="274">
        <f>SUM(E98:E107)-E101-E100</f>
        <v>33226</v>
      </c>
      <c r="F97" s="274">
        <f>SUM(F98:F114)-F101-F100</f>
        <v>46339</v>
      </c>
      <c r="G97" s="274">
        <f>SUM(G98:G114)-G101-G100</f>
        <v>27811</v>
      </c>
      <c r="H97" s="274">
        <f t="shared" si="0"/>
        <v>60.01640087183582</v>
      </c>
    </row>
    <row r="98" spans="1:8" ht="15" x14ac:dyDescent="0.25">
      <c r="A98" s="265"/>
      <c r="B98" s="266"/>
      <c r="C98" s="275" t="s">
        <v>375</v>
      </c>
      <c r="D98" s="267" t="s">
        <v>376</v>
      </c>
      <c r="E98" s="268">
        <v>1000</v>
      </c>
      <c r="F98" s="268">
        <v>0</v>
      </c>
      <c r="G98" s="268">
        <v>1000</v>
      </c>
      <c r="H98" s="268" t="e">
        <f t="shared" si="0"/>
        <v>#DIV/0!</v>
      </c>
    </row>
    <row r="99" spans="1:8" ht="15" x14ac:dyDescent="0.25">
      <c r="A99" s="265"/>
      <c r="B99" s="266"/>
      <c r="C99" s="275" t="s">
        <v>377</v>
      </c>
      <c r="D99" s="267" t="s">
        <v>378</v>
      </c>
      <c r="E99" s="268">
        <f>SUM(E100:E101)</f>
        <v>790</v>
      </c>
      <c r="F99" s="268">
        <f t="shared" ref="F99:G99" si="3">SUM(F100:F101)</f>
        <v>790</v>
      </c>
      <c r="G99" s="268">
        <f t="shared" si="3"/>
        <v>875</v>
      </c>
      <c r="H99" s="268">
        <f t="shared" si="0"/>
        <v>110.75949367088607</v>
      </c>
    </row>
    <row r="100" spans="1:8" ht="15" x14ac:dyDescent="0.25">
      <c r="A100" s="265"/>
      <c r="B100" s="266"/>
      <c r="C100" s="275" t="s">
        <v>379</v>
      </c>
      <c r="D100" s="276" t="s">
        <v>1422</v>
      </c>
      <c r="E100" s="277">
        <v>390</v>
      </c>
      <c r="F100" s="277">
        <v>390</v>
      </c>
      <c r="G100" s="277">
        <v>475</v>
      </c>
      <c r="H100" s="277">
        <f t="shared" si="0"/>
        <v>121.79487179487178</v>
      </c>
    </row>
    <row r="101" spans="1:8" ht="15" x14ac:dyDescent="0.25">
      <c r="A101" s="265"/>
      <c r="B101" s="266"/>
      <c r="C101" s="275" t="s">
        <v>380</v>
      </c>
      <c r="D101" s="276" t="s">
        <v>381</v>
      </c>
      <c r="E101" s="277">
        <v>400</v>
      </c>
      <c r="F101" s="277">
        <v>400</v>
      </c>
      <c r="G101" s="277">
        <v>400</v>
      </c>
      <c r="H101" s="277">
        <f t="shared" si="0"/>
        <v>100</v>
      </c>
    </row>
    <row r="102" spans="1:8" ht="15" x14ac:dyDescent="0.25">
      <c r="A102" s="265"/>
      <c r="B102" s="266"/>
      <c r="C102" s="275" t="s">
        <v>382</v>
      </c>
      <c r="D102" s="267" t="s">
        <v>31</v>
      </c>
      <c r="E102" s="268">
        <v>0</v>
      </c>
      <c r="F102" s="268">
        <v>400</v>
      </c>
      <c r="G102" s="268">
        <v>0</v>
      </c>
      <c r="H102" s="268">
        <f t="shared" si="0"/>
        <v>0</v>
      </c>
    </row>
    <row r="103" spans="1:8" ht="15" x14ac:dyDescent="0.25">
      <c r="A103" s="265"/>
      <c r="B103" s="266"/>
      <c r="C103" s="275" t="s">
        <v>383</v>
      </c>
      <c r="D103" s="267" t="s">
        <v>384</v>
      </c>
      <c r="E103" s="268">
        <v>25000</v>
      </c>
      <c r="F103" s="268">
        <v>37079</v>
      </c>
      <c r="G103" s="268">
        <v>20000</v>
      </c>
      <c r="H103" s="268">
        <f t="shared" si="0"/>
        <v>53.93888724075623</v>
      </c>
    </row>
    <row r="104" spans="1:8" ht="15" x14ac:dyDescent="0.25">
      <c r="A104" s="265"/>
      <c r="B104" s="266"/>
      <c r="C104" s="275" t="s">
        <v>385</v>
      </c>
      <c r="D104" s="269" t="s">
        <v>386</v>
      </c>
      <c r="E104" s="268">
        <v>1000</v>
      </c>
      <c r="F104" s="268">
        <v>1000</v>
      </c>
      <c r="G104" s="268">
        <v>1000</v>
      </c>
      <c r="H104" s="268">
        <f t="shared" si="0"/>
        <v>100</v>
      </c>
    </row>
    <row r="105" spans="1:8" ht="15" x14ac:dyDescent="0.25">
      <c r="A105" s="265"/>
      <c r="B105" s="266"/>
      <c r="C105" s="275" t="s">
        <v>387</v>
      </c>
      <c r="D105" s="269" t="s">
        <v>388</v>
      </c>
      <c r="E105" s="268">
        <v>2800</v>
      </c>
      <c r="F105" s="268">
        <v>2800</v>
      </c>
      <c r="G105" s="268">
        <v>2800</v>
      </c>
      <c r="H105" s="268">
        <f t="shared" si="0"/>
        <v>100</v>
      </c>
    </row>
    <row r="106" spans="1:8" ht="15" x14ac:dyDescent="0.25">
      <c r="A106" s="265"/>
      <c r="B106" s="266"/>
      <c r="C106" s="275" t="s">
        <v>389</v>
      </c>
      <c r="D106" s="267" t="s">
        <v>390</v>
      </c>
      <c r="E106" s="268">
        <v>2136</v>
      </c>
      <c r="F106" s="202">
        <v>0</v>
      </c>
      <c r="G106" s="268">
        <v>2136</v>
      </c>
      <c r="H106" s="268"/>
    </row>
    <row r="107" spans="1:8" ht="15" hidden="1" x14ac:dyDescent="0.25">
      <c r="A107" s="265"/>
      <c r="B107" s="266"/>
      <c r="C107" s="275" t="s">
        <v>391</v>
      </c>
      <c r="D107" s="269" t="s">
        <v>1043</v>
      </c>
      <c r="E107" s="268">
        <v>500</v>
      </c>
      <c r="F107" s="268">
        <v>500</v>
      </c>
      <c r="G107" s="268"/>
      <c r="H107" s="268">
        <f t="shared" si="0"/>
        <v>0</v>
      </c>
    </row>
    <row r="108" spans="1:8" ht="15" hidden="1" x14ac:dyDescent="0.25">
      <c r="A108" s="265"/>
      <c r="B108" s="266"/>
      <c r="C108" s="275" t="s">
        <v>392</v>
      </c>
      <c r="D108" s="267" t="s">
        <v>1275</v>
      </c>
      <c r="E108" s="268"/>
      <c r="F108" s="268">
        <v>1000</v>
      </c>
      <c r="G108" s="268"/>
      <c r="H108" s="268">
        <f t="shared" si="0"/>
        <v>0</v>
      </c>
    </row>
    <row r="109" spans="1:8" ht="15" hidden="1" x14ac:dyDescent="0.25">
      <c r="A109" s="265"/>
      <c r="B109" s="266"/>
      <c r="C109" s="275" t="s">
        <v>393</v>
      </c>
      <c r="D109" s="267" t="s">
        <v>394</v>
      </c>
      <c r="E109" s="268"/>
      <c r="F109" s="268">
        <v>726</v>
      </c>
      <c r="G109" s="268"/>
      <c r="H109" s="268">
        <f t="shared" si="0"/>
        <v>0</v>
      </c>
    </row>
    <row r="110" spans="1:8" ht="15" hidden="1" x14ac:dyDescent="0.25">
      <c r="A110" s="265"/>
      <c r="B110" s="266"/>
      <c r="C110" s="275" t="s">
        <v>395</v>
      </c>
      <c r="D110" s="267" t="s">
        <v>396</v>
      </c>
      <c r="E110" s="268"/>
      <c r="F110" s="268">
        <v>316</v>
      </c>
      <c r="G110" s="268"/>
      <c r="H110" s="268">
        <f t="shared" si="0"/>
        <v>0</v>
      </c>
    </row>
    <row r="111" spans="1:8" ht="15" hidden="1" x14ac:dyDescent="0.25">
      <c r="A111" s="265"/>
      <c r="B111" s="266"/>
      <c r="C111" s="275" t="s">
        <v>397</v>
      </c>
      <c r="D111" s="267" t="s">
        <v>398</v>
      </c>
      <c r="E111" s="268"/>
      <c r="F111" s="268">
        <v>774</v>
      </c>
      <c r="G111" s="268"/>
      <c r="H111" s="268">
        <f t="shared" si="0"/>
        <v>0</v>
      </c>
    </row>
    <row r="112" spans="1:8" ht="15" hidden="1" x14ac:dyDescent="0.25">
      <c r="A112" s="265"/>
      <c r="B112" s="266"/>
      <c r="C112" s="275" t="s">
        <v>399</v>
      </c>
      <c r="D112" s="267" t="s">
        <v>400</v>
      </c>
      <c r="E112" s="268"/>
      <c r="F112" s="268">
        <v>370</v>
      </c>
      <c r="G112" s="268"/>
      <c r="H112" s="268">
        <f t="shared" ref="H112:H113" si="4">G112/F112*100</f>
        <v>0</v>
      </c>
    </row>
    <row r="113" spans="1:13" ht="15" hidden="1" x14ac:dyDescent="0.25">
      <c r="A113" s="265"/>
      <c r="B113" s="266"/>
      <c r="C113" s="275" t="s">
        <v>1278</v>
      </c>
      <c r="D113" s="267" t="s">
        <v>402</v>
      </c>
      <c r="E113" s="268"/>
      <c r="F113" s="268">
        <v>298</v>
      </c>
      <c r="G113" s="268"/>
      <c r="H113" s="268">
        <f t="shared" si="4"/>
        <v>0</v>
      </c>
    </row>
    <row r="114" spans="1:13" ht="15" hidden="1" x14ac:dyDescent="0.25">
      <c r="A114" s="265"/>
      <c r="B114" s="266"/>
      <c r="C114" s="275" t="s">
        <v>401</v>
      </c>
      <c r="D114" s="267" t="s">
        <v>1279</v>
      </c>
      <c r="E114" s="268"/>
      <c r="F114" s="268">
        <v>286</v>
      </c>
      <c r="G114" s="268"/>
      <c r="H114" s="268">
        <f t="shared" si="0"/>
        <v>0</v>
      </c>
    </row>
    <row r="115" spans="1:13" ht="15" hidden="1" x14ac:dyDescent="0.25">
      <c r="A115" s="265"/>
      <c r="B115" s="266"/>
      <c r="C115" s="272" t="s">
        <v>403</v>
      </c>
      <c r="D115" s="273" t="s">
        <v>404</v>
      </c>
      <c r="E115" s="769">
        <v>8000</v>
      </c>
      <c r="F115" s="274">
        <v>8000</v>
      </c>
      <c r="G115" s="202"/>
      <c r="H115" s="274">
        <f t="shared" si="0"/>
        <v>0</v>
      </c>
    </row>
    <row r="116" spans="1:13" ht="15" x14ac:dyDescent="0.25">
      <c r="A116" s="278"/>
      <c r="B116" s="261" t="s">
        <v>230</v>
      </c>
      <c r="C116" s="279"/>
      <c r="D116" s="280" t="s">
        <v>954</v>
      </c>
      <c r="E116" s="281">
        <f>SUM(E117:E120)</f>
        <v>17000</v>
      </c>
      <c r="F116" s="281">
        <f>SUM(F117:F120)</f>
        <v>17000</v>
      </c>
      <c r="G116" s="281">
        <f>SUM(G117:G120)</f>
        <v>17000</v>
      </c>
      <c r="H116" s="281">
        <f t="shared" si="0"/>
        <v>100</v>
      </c>
      <c r="L116" s="216"/>
    </row>
    <row r="117" spans="1:13" ht="15" x14ac:dyDescent="0.25">
      <c r="A117" s="278"/>
      <c r="B117" s="261"/>
      <c r="C117" s="262" t="s">
        <v>405</v>
      </c>
      <c r="D117" s="269" t="s">
        <v>406</v>
      </c>
      <c r="E117" s="747">
        <v>4500</v>
      </c>
      <c r="F117" s="268">
        <v>4500</v>
      </c>
      <c r="G117" s="268">
        <v>4500</v>
      </c>
      <c r="H117" s="268">
        <f t="shared" si="0"/>
        <v>100</v>
      </c>
      <c r="I117" s="197"/>
      <c r="M117" s="216"/>
    </row>
    <row r="118" spans="1:13" ht="15" x14ac:dyDescent="0.25">
      <c r="A118" s="278"/>
      <c r="B118" s="261"/>
      <c r="C118" s="262" t="s">
        <v>407</v>
      </c>
      <c r="D118" s="269" t="s">
        <v>408</v>
      </c>
      <c r="E118" s="747">
        <v>4500</v>
      </c>
      <c r="F118" s="268">
        <v>4500</v>
      </c>
      <c r="G118" s="268">
        <v>4500</v>
      </c>
      <c r="H118" s="268">
        <f t="shared" si="0"/>
        <v>100</v>
      </c>
    </row>
    <row r="119" spans="1:13" ht="15.75" customHeight="1" x14ac:dyDescent="0.25">
      <c r="A119" s="278"/>
      <c r="B119" s="261"/>
      <c r="C119" s="262" t="s">
        <v>409</v>
      </c>
      <c r="D119" s="269" t="s">
        <v>410</v>
      </c>
      <c r="E119" s="747">
        <v>7000</v>
      </c>
      <c r="F119" s="268">
        <v>7000</v>
      </c>
      <c r="G119" s="268">
        <v>7000</v>
      </c>
      <c r="H119" s="268">
        <f t="shared" ref="H119:H184" si="5">G119/F119*100</f>
        <v>100</v>
      </c>
    </row>
    <row r="120" spans="1:13" ht="15" x14ac:dyDescent="0.25">
      <c r="A120" s="278"/>
      <c r="B120" s="261"/>
      <c r="C120" s="262" t="s">
        <v>411</v>
      </c>
      <c r="D120" s="269" t="s">
        <v>412</v>
      </c>
      <c r="E120" s="747">
        <v>1000</v>
      </c>
      <c r="F120" s="268">
        <v>1000</v>
      </c>
      <c r="G120" s="268">
        <v>1000</v>
      </c>
      <c r="H120" s="268">
        <f t="shared" si="5"/>
        <v>100</v>
      </c>
    </row>
    <row r="121" spans="1:13" ht="19.5" hidden="1" customHeight="1" x14ac:dyDescent="0.25">
      <c r="A121" s="1530" t="s">
        <v>413</v>
      </c>
      <c r="B121" s="1530"/>
      <c r="C121" s="1530"/>
      <c r="D121" s="1530"/>
      <c r="E121" s="282">
        <f>E4+E7+E13+E41+E116+E27+E40</f>
        <v>256487</v>
      </c>
      <c r="F121" s="282" t="e">
        <f>F4+F7+F13+F41+F116+F27+F40+F33</f>
        <v>#REF!</v>
      </c>
      <c r="G121" s="282">
        <f>G4+G7+G13+G41+G116+G27+G40+G33</f>
        <v>1719869</v>
      </c>
      <c r="H121" s="282" t="e">
        <f t="shared" si="5"/>
        <v>#REF!</v>
      </c>
      <c r="K121" s="168"/>
    </row>
    <row r="122" spans="1:13" ht="15" x14ac:dyDescent="0.25">
      <c r="A122" s="190"/>
      <c r="B122" s="173" t="s">
        <v>232</v>
      </c>
      <c r="C122" s="174"/>
      <c r="D122" s="236" t="s">
        <v>87</v>
      </c>
      <c r="E122" s="237">
        <f>E123+E124</f>
        <v>143605</v>
      </c>
      <c r="F122" s="237">
        <f>F123+F124</f>
        <v>13195</v>
      </c>
      <c r="G122" s="237">
        <f>G123+G124</f>
        <v>106425</v>
      </c>
      <c r="H122" s="237">
        <f t="shared" si="5"/>
        <v>806.55551345206527</v>
      </c>
      <c r="L122" s="216"/>
    </row>
    <row r="123" spans="1:13" ht="15" x14ac:dyDescent="0.25">
      <c r="A123" s="190"/>
      <c r="B123" s="173"/>
      <c r="C123" s="245" t="s">
        <v>414</v>
      </c>
      <c r="D123" s="263" t="s">
        <v>415</v>
      </c>
      <c r="E123" s="192"/>
      <c r="F123" s="192">
        <v>13195</v>
      </c>
      <c r="G123" s="192">
        <v>10000</v>
      </c>
      <c r="H123" s="192"/>
      <c r="K123" s="168"/>
    </row>
    <row r="124" spans="1:13" ht="15" x14ac:dyDescent="0.25">
      <c r="A124" s="190"/>
      <c r="B124" s="173"/>
      <c r="C124" s="244" t="s">
        <v>416</v>
      </c>
      <c r="D124" s="263" t="s">
        <v>72</v>
      </c>
      <c r="E124" s="234">
        <f>SUM('7.1. sz mell.'!I111)</f>
        <v>143605</v>
      </c>
      <c r="F124" s="1048"/>
      <c r="G124" s="234">
        <f>SUM('7.1. sz mell.'!J111)</f>
        <v>96425</v>
      </c>
      <c r="H124" s="234" t="e">
        <f t="shared" si="5"/>
        <v>#DIV/0!</v>
      </c>
      <c r="K124" s="168"/>
    </row>
    <row r="125" spans="1:13" ht="19.5" hidden="1" customHeight="1" x14ac:dyDescent="0.25">
      <c r="A125" s="1530" t="s">
        <v>417</v>
      </c>
      <c r="B125" s="1530" t="s">
        <v>234</v>
      </c>
      <c r="C125" s="1530"/>
      <c r="D125" s="1530" t="s">
        <v>235</v>
      </c>
      <c r="E125" s="205">
        <f>E122</f>
        <v>143605</v>
      </c>
      <c r="F125" s="205">
        <f>F122</f>
        <v>13195</v>
      </c>
      <c r="G125" s="205">
        <f>G122</f>
        <v>106425</v>
      </c>
      <c r="H125" s="205">
        <f t="shared" si="5"/>
        <v>806.55551345206527</v>
      </c>
      <c r="K125" s="168"/>
    </row>
    <row r="126" spans="1:13" ht="19.5" hidden="1" customHeight="1" x14ac:dyDescent="0.25">
      <c r="A126" s="1530" t="s">
        <v>418</v>
      </c>
      <c r="B126" s="1530"/>
      <c r="C126" s="1530"/>
      <c r="D126" s="1530"/>
      <c r="E126" s="205">
        <f>E121+E125</f>
        <v>400092</v>
      </c>
      <c r="F126" s="205" t="e">
        <f>F121+F125</f>
        <v>#REF!</v>
      </c>
      <c r="G126" s="205">
        <f>G121+G125</f>
        <v>1826294</v>
      </c>
      <c r="H126" s="205" t="e">
        <f t="shared" si="5"/>
        <v>#REF!</v>
      </c>
      <c r="K126" s="168"/>
    </row>
    <row r="127" spans="1:13" ht="15" hidden="1" x14ac:dyDescent="0.25">
      <c r="A127" s="190"/>
      <c r="B127" s="173" t="s">
        <v>234</v>
      </c>
      <c r="C127" s="174"/>
      <c r="D127" s="236" t="s">
        <v>419</v>
      </c>
      <c r="E127" s="237"/>
      <c r="F127" s="237"/>
      <c r="G127" s="237"/>
      <c r="H127" s="237"/>
      <c r="L127" s="216"/>
    </row>
    <row r="128" spans="1:13" ht="15" hidden="1" x14ac:dyDescent="0.25">
      <c r="A128" s="190"/>
      <c r="B128" s="173" t="s">
        <v>420</v>
      </c>
      <c r="C128" s="174"/>
      <c r="D128" s="236" t="s">
        <v>421</v>
      </c>
      <c r="E128" s="237"/>
      <c r="F128" s="237"/>
      <c r="G128" s="237"/>
      <c r="H128" s="237"/>
      <c r="L128" s="216"/>
    </row>
    <row r="129" spans="1:17" ht="15" hidden="1" x14ac:dyDescent="0.25">
      <c r="A129" s="172"/>
      <c r="B129" s="173"/>
      <c r="C129" s="245" t="s">
        <v>422</v>
      </c>
      <c r="D129" s="191" t="s">
        <v>423</v>
      </c>
      <c r="E129" s="192"/>
      <c r="F129" s="192"/>
      <c r="G129" s="192"/>
      <c r="H129" s="192"/>
    </row>
    <row r="130" spans="1:17" ht="15" hidden="1" customHeight="1" x14ac:dyDescent="0.25">
      <c r="A130" s="172"/>
      <c r="B130" s="173"/>
      <c r="C130" s="245" t="s">
        <v>424</v>
      </c>
      <c r="D130" s="191" t="s">
        <v>425</v>
      </c>
      <c r="E130" s="196"/>
      <c r="F130" s="196"/>
      <c r="G130" s="196"/>
      <c r="H130" s="196"/>
    </row>
    <row r="131" spans="1:17" ht="15" hidden="1" customHeight="1" x14ac:dyDescent="0.25">
      <c r="A131" s="172"/>
      <c r="B131" s="173"/>
      <c r="C131" s="245" t="s">
        <v>426</v>
      </c>
      <c r="D131" s="191" t="s">
        <v>427</v>
      </c>
      <c r="E131" s="192"/>
      <c r="F131" s="192"/>
      <c r="G131" s="192"/>
      <c r="H131" s="192"/>
    </row>
    <row r="132" spans="1:17" ht="15" hidden="1" customHeight="1" x14ac:dyDescent="0.25">
      <c r="A132" s="172"/>
      <c r="B132" s="173"/>
      <c r="C132" s="245" t="s">
        <v>428</v>
      </c>
      <c r="D132" s="191" t="s">
        <v>429</v>
      </c>
      <c r="E132" s="202"/>
      <c r="F132" s="202"/>
      <c r="G132" s="202"/>
      <c r="H132" s="202"/>
    </row>
    <row r="133" spans="1:17" ht="15" hidden="1" customHeight="1" x14ac:dyDescent="0.25">
      <c r="A133" s="172"/>
      <c r="B133" s="173"/>
      <c r="C133" s="245" t="s">
        <v>430</v>
      </c>
      <c r="D133" s="191" t="s">
        <v>431</v>
      </c>
      <c r="E133" s="192"/>
      <c r="F133" s="192"/>
      <c r="G133" s="192"/>
      <c r="H133" s="192"/>
    </row>
    <row r="134" spans="1:17" ht="15" hidden="1" customHeight="1" x14ac:dyDescent="0.25">
      <c r="A134" s="172"/>
      <c r="B134" s="173"/>
      <c r="C134" s="245" t="s">
        <v>432</v>
      </c>
      <c r="D134" s="191" t="s">
        <v>433</v>
      </c>
      <c r="E134" s="192"/>
      <c r="F134" s="192"/>
      <c r="G134" s="192"/>
      <c r="H134" s="192"/>
    </row>
    <row r="135" spans="1:17" ht="19.5" hidden="1" customHeight="1" x14ac:dyDescent="0.25">
      <c r="A135" s="1530" t="s">
        <v>434</v>
      </c>
      <c r="B135" s="1530"/>
      <c r="C135" s="1530"/>
      <c r="D135" s="1530"/>
      <c r="E135" s="205">
        <f>E128+E127</f>
        <v>0</v>
      </c>
      <c r="F135" s="205">
        <f>F128+F127</f>
        <v>0</v>
      </c>
      <c r="G135" s="205">
        <f>G128+G127</f>
        <v>0</v>
      </c>
      <c r="H135" s="205"/>
      <c r="K135" s="168"/>
    </row>
    <row r="136" spans="1:17" ht="19.5" customHeight="1" x14ac:dyDescent="0.25">
      <c r="A136" s="1285" t="s">
        <v>435</v>
      </c>
      <c r="B136" s="1285"/>
      <c r="C136" s="1285"/>
      <c r="D136" s="1285"/>
      <c r="E136" s="214">
        <f>E135+E126</f>
        <v>400092</v>
      </c>
      <c r="F136" s="214" t="e">
        <f>F135+F126</f>
        <v>#REF!</v>
      </c>
      <c r="G136" s="1285">
        <f>G135+G126</f>
        <v>1826294</v>
      </c>
      <c r="H136" s="214" t="e">
        <f t="shared" si="5"/>
        <v>#REF!</v>
      </c>
      <c r="I136" s="227"/>
      <c r="J136" s="227"/>
      <c r="K136" s="227"/>
      <c r="P136" s="216"/>
      <c r="Q136" s="216"/>
    </row>
    <row r="137" spans="1:17" ht="12.75" customHeight="1" x14ac:dyDescent="0.25">
      <c r="A137" s="283"/>
      <c r="B137" s="284"/>
      <c r="C137" s="284"/>
      <c r="D137" s="284"/>
      <c r="E137" s="285"/>
      <c r="F137" s="285"/>
      <c r="G137" s="285"/>
      <c r="H137" s="285"/>
      <c r="I137" s="227"/>
      <c r="J137" s="227"/>
      <c r="K137" s="227"/>
    </row>
    <row r="138" spans="1:17" ht="19.5" customHeight="1" x14ac:dyDescent="0.25">
      <c r="A138" s="1285" t="s">
        <v>1549</v>
      </c>
      <c r="B138" s="1285"/>
      <c r="C138" s="1285"/>
      <c r="D138" s="1285"/>
      <c r="E138" s="286"/>
      <c r="F138" s="286"/>
      <c r="G138" s="1285"/>
      <c r="H138" s="286"/>
      <c r="I138" s="227"/>
      <c r="J138" s="227"/>
      <c r="K138" s="227"/>
    </row>
    <row r="139" spans="1:17" s="183" customFormat="1" ht="16.5" x14ac:dyDescent="0.25">
      <c r="A139" s="215"/>
      <c r="B139" s="179"/>
      <c r="C139" s="180" t="s">
        <v>4</v>
      </c>
      <c r="D139" s="181" t="s">
        <v>436</v>
      </c>
      <c r="E139" s="182">
        <v>25000</v>
      </c>
      <c r="F139" s="182">
        <f>SUM('6.1.sz.mell. '!J4)</f>
        <v>25000</v>
      </c>
      <c r="G139" s="182">
        <f>SUM('6.1.sz.mell. '!H4)</f>
        <v>15000</v>
      </c>
      <c r="H139" s="182">
        <f t="shared" si="5"/>
        <v>60</v>
      </c>
    </row>
    <row r="140" spans="1:17" s="183" customFormat="1" ht="16.5" x14ac:dyDescent="0.25">
      <c r="A140" s="215"/>
      <c r="B140" s="179"/>
      <c r="C140" s="180" t="s">
        <v>6</v>
      </c>
      <c r="D140" s="181" t="s">
        <v>63</v>
      </c>
      <c r="E140" s="182">
        <v>91500</v>
      </c>
      <c r="F140" s="182">
        <f>SUM('6.2.sz.mell.'!J3)</f>
        <v>595591</v>
      </c>
      <c r="G140" s="182">
        <f>SUM('6.2.sz.mell.'!H3)</f>
        <v>130500</v>
      </c>
      <c r="H140" s="182">
        <f t="shared" si="5"/>
        <v>21.911009400746487</v>
      </c>
    </row>
    <row r="141" spans="1:17" s="183" customFormat="1" ht="16.5" hidden="1" x14ac:dyDescent="0.25">
      <c r="A141" s="215"/>
      <c r="B141" s="179"/>
      <c r="C141" s="180" t="s">
        <v>7</v>
      </c>
      <c r="D141" s="181" t="s">
        <v>67</v>
      </c>
      <c r="E141" s="182">
        <f>E142</f>
        <v>0</v>
      </c>
      <c r="F141" s="182">
        <f>F142</f>
        <v>0</v>
      </c>
      <c r="G141" s="182">
        <f>G142</f>
        <v>0</v>
      </c>
      <c r="H141" s="182"/>
    </row>
    <row r="142" spans="1:17" ht="15" hidden="1" customHeight="1" x14ac:dyDescent="0.25">
      <c r="A142" s="172"/>
      <c r="B142" s="173"/>
      <c r="C142" s="245" t="s">
        <v>260</v>
      </c>
      <c r="D142" s="191" t="s">
        <v>437</v>
      </c>
      <c r="E142" s="192"/>
      <c r="F142" s="192"/>
      <c r="G142" s="192"/>
      <c r="H142" s="192"/>
    </row>
    <row r="143" spans="1:17" s="183" customFormat="1" ht="16.5" x14ac:dyDescent="0.25">
      <c r="A143" s="215"/>
      <c r="B143" s="179"/>
      <c r="C143" s="180" t="s">
        <v>7</v>
      </c>
      <c r="D143" s="181" t="s">
        <v>66</v>
      </c>
      <c r="E143" s="182"/>
      <c r="F143" s="182"/>
      <c r="G143" s="182">
        <f>SUM(G144)</f>
        <v>80000</v>
      </c>
      <c r="H143" s="182"/>
    </row>
    <row r="144" spans="1:17" s="183" customFormat="1" ht="32.25" customHeight="1" x14ac:dyDescent="0.25">
      <c r="A144" s="215"/>
      <c r="B144" s="179"/>
      <c r="C144" s="1248" t="s">
        <v>469</v>
      </c>
      <c r="D144" s="1247" t="s">
        <v>1550</v>
      </c>
      <c r="E144" s="182">
        <f>E145+E146</f>
        <v>51432</v>
      </c>
      <c r="F144" s="182">
        <f>F145+F146</f>
        <v>21369</v>
      </c>
      <c r="G144" s="1250">
        <f>G145+G146</f>
        <v>80000</v>
      </c>
      <c r="H144" s="182">
        <f t="shared" si="5"/>
        <v>374.37409331274279</v>
      </c>
    </row>
    <row r="145" spans="1:11" ht="15" x14ac:dyDescent="0.25">
      <c r="A145" s="265"/>
      <c r="B145" s="266"/>
      <c r="C145" s="275" t="s">
        <v>261</v>
      </c>
      <c r="D145" s="1249" t="s">
        <v>439</v>
      </c>
      <c r="E145" s="268"/>
      <c r="F145" s="268">
        <v>90</v>
      </c>
      <c r="G145" s="268"/>
      <c r="H145" s="268">
        <f t="shared" si="5"/>
        <v>0</v>
      </c>
    </row>
    <row r="146" spans="1:11" ht="15" x14ac:dyDescent="0.25">
      <c r="A146" s="265"/>
      <c r="B146" s="266"/>
      <c r="C146" s="275" t="s">
        <v>1551</v>
      </c>
      <c r="D146" s="1249" t="s">
        <v>1042</v>
      </c>
      <c r="E146" s="268">
        <v>51432</v>
      </c>
      <c r="F146" s="268">
        <v>21279</v>
      </c>
      <c r="G146" s="268">
        <v>80000</v>
      </c>
      <c r="H146" s="268">
        <f t="shared" si="5"/>
        <v>375.95751680060152</v>
      </c>
    </row>
    <row r="147" spans="1:11" s="183" customFormat="1" ht="16.5" hidden="1" x14ac:dyDescent="0.25">
      <c r="A147" s="215"/>
      <c r="B147" s="179"/>
      <c r="C147" s="180" t="s">
        <v>10</v>
      </c>
      <c r="D147" s="181" t="s">
        <v>440</v>
      </c>
      <c r="E147" s="182"/>
      <c r="F147" s="182">
        <v>6831</v>
      </c>
      <c r="G147" s="182">
        <v>0</v>
      </c>
      <c r="H147" s="182">
        <f t="shared" si="5"/>
        <v>0</v>
      </c>
    </row>
    <row r="148" spans="1:11" s="183" customFormat="1" ht="16.5" hidden="1" x14ac:dyDescent="0.25">
      <c r="A148" s="287"/>
      <c r="B148" s="288"/>
      <c r="C148" s="289" t="s">
        <v>11</v>
      </c>
      <c r="D148" s="181" t="s">
        <v>441</v>
      </c>
      <c r="E148" s="290">
        <v>10000</v>
      </c>
      <c r="F148" s="290">
        <v>10000</v>
      </c>
      <c r="G148" s="290">
        <v>0</v>
      </c>
      <c r="H148" s="290">
        <f t="shared" si="5"/>
        <v>0</v>
      </c>
    </row>
    <row r="149" spans="1:11" s="183" customFormat="1" ht="16.5" hidden="1" x14ac:dyDescent="0.25">
      <c r="A149" s="287"/>
      <c r="B149" s="288"/>
      <c r="C149" s="289" t="s">
        <v>234</v>
      </c>
      <c r="D149" s="181" t="s">
        <v>442</v>
      </c>
      <c r="E149" s="290">
        <f>SUM(E150:E154)</f>
        <v>44500</v>
      </c>
      <c r="F149" s="290">
        <f>SUM(F150:F154)</f>
        <v>44500</v>
      </c>
      <c r="G149" s="290">
        <f>SUM(G150:G154)</f>
        <v>0</v>
      </c>
      <c r="H149" s="290">
        <f t="shared" si="5"/>
        <v>0</v>
      </c>
    </row>
    <row r="150" spans="1:11" s="183" customFormat="1" ht="16.5" hidden="1" x14ac:dyDescent="0.25">
      <c r="A150" s="287"/>
      <c r="B150" s="288"/>
      <c r="C150" s="275" t="s">
        <v>1780</v>
      </c>
      <c r="D150" s="757" t="s">
        <v>443</v>
      </c>
      <c r="E150" s="744">
        <v>5250</v>
      </c>
      <c r="F150" s="249">
        <v>5250</v>
      </c>
      <c r="G150" s="249"/>
      <c r="H150" s="249">
        <f t="shared" si="5"/>
        <v>0</v>
      </c>
    </row>
    <row r="151" spans="1:11" s="183" customFormat="1" ht="16.5" hidden="1" x14ac:dyDescent="0.25">
      <c r="A151" s="287"/>
      <c r="B151" s="288"/>
      <c r="C151" s="275" t="s">
        <v>1781</v>
      </c>
      <c r="D151" s="757" t="s">
        <v>444</v>
      </c>
      <c r="E151" s="744">
        <v>11250</v>
      </c>
      <c r="F151" s="249">
        <v>11250</v>
      </c>
      <c r="G151" s="249"/>
      <c r="H151" s="249">
        <f t="shared" si="5"/>
        <v>0</v>
      </c>
    </row>
    <row r="152" spans="1:11" s="183" customFormat="1" ht="16.5" hidden="1" x14ac:dyDescent="0.25">
      <c r="A152" s="287"/>
      <c r="B152" s="288"/>
      <c r="C152" s="275" t="s">
        <v>1782</v>
      </c>
      <c r="D152" s="757" t="s">
        <v>445</v>
      </c>
      <c r="E152" s="744">
        <v>2625</v>
      </c>
      <c r="F152" s="249">
        <v>2625</v>
      </c>
      <c r="G152" s="249"/>
      <c r="H152" s="249">
        <f t="shared" si="5"/>
        <v>0</v>
      </c>
    </row>
    <row r="153" spans="1:11" s="183" customFormat="1" ht="16.5" hidden="1" x14ac:dyDescent="0.25">
      <c r="A153" s="287"/>
      <c r="B153" s="288"/>
      <c r="C153" s="275" t="s">
        <v>1783</v>
      </c>
      <c r="D153" s="757" t="s">
        <v>446</v>
      </c>
      <c r="E153" s="744">
        <v>6750</v>
      </c>
      <c r="F153" s="249">
        <v>6750</v>
      </c>
      <c r="G153" s="249"/>
      <c r="H153" s="249">
        <f t="shared" si="5"/>
        <v>0</v>
      </c>
    </row>
    <row r="154" spans="1:11" s="183" customFormat="1" ht="16.5" hidden="1" x14ac:dyDescent="0.25">
      <c r="A154" s="287"/>
      <c r="B154" s="288"/>
      <c r="C154" s="275" t="s">
        <v>1784</v>
      </c>
      <c r="D154" s="757" t="s">
        <v>447</v>
      </c>
      <c r="E154" s="744">
        <v>18625</v>
      </c>
      <c r="F154" s="249">
        <v>18625</v>
      </c>
      <c r="G154" s="249"/>
      <c r="H154" s="249">
        <f t="shared" si="5"/>
        <v>0</v>
      </c>
    </row>
    <row r="155" spans="1:11" ht="19.5" hidden="1" customHeight="1" x14ac:dyDescent="0.25">
      <c r="A155" s="1530" t="s">
        <v>448</v>
      </c>
      <c r="B155" s="1530"/>
      <c r="C155" s="1530"/>
      <c r="D155" s="1530" t="s">
        <v>265</v>
      </c>
      <c r="E155" s="282">
        <f>E139+E140+E141+E143+E144+E147+E148+E149</f>
        <v>222432</v>
      </c>
      <c r="F155" s="282">
        <f>F139+F140+F141+F143+F144+F147+F148+F149</f>
        <v>703291</v>
      </c>
      <c r="G155" s="1121">
        <f>G139+G140+G141+G143+G147+G148+G149</f>
        <v>225500</v>
      </c>
      <c r="H155" s="282">
        <f t="shared" si="5"/>
        <v>32.063541265279952</v>
      </c>
      <c r="K155" s="168"/>
    </row>
    <row r="156" spans="1:11" s="183" customFormat="1" ht="16.5" x14ac:dyDescent="0.25">
      <c r="A156" s="215"/>
      <c r="B156" s="179"/>
      <c r="C156" s="180" t="s">
        <v>8</v>
      </c>
      <c r="D156" s="181" t="s">
        <v>87</v>
      </c>
      <c r="E156" s="182">
        <f>E158+E157</f>
        <v>115000</v>
      </c>
      <c r="F156" s="182">
        <f>F158+F157</f>
        <v>258544</v>
      </c>
      <c r="G156" s="1121">
        <f>G158+G157</f>
        <v>27272</v>
      </c>
      <c r="H156" s="182">
        <f t="shared" si="5"/>
        <v>10.548301256265857</v>
      </c>
    </row>
    <row r="157" spans="1:11" s="183" customFormat="1" ht="16.5" x14ac:dyDescent="0.25">
      <c r="A157" s="287"/>
      <c r="B157" s="288"/>
      <c r="C157" s="275" t="s">
        <v>473</v>
      </c>
      <c r="D157" s="267" t="s">
        <v>70</v>
      </c>
      <c r="E157" s="192">
        <v>20000</v>
      </c>
      <c r="F157" s="192">
        <v>0</v>
      </c>
      <c r="G157" s="249">
        <v>0</v>
      </c>
      <c r="H157" s="192"/>
    </row>
    <row r="158" spans="1:11" ht="15" x14ac:dyDescent="0.25">
      <c r="A158" s="265"/>
      <c r="B158" s="266"/>
      <c r="C158" s="275" t="s">
        <v>474</v>
      </c>
      <c r="D158" s="267" t="s">
        <v>450</v>
      </c>
      <c r="E158" s="192">
        <f>SUM('7.2.. sz mell.'!F37)</f>
        <v>95000</v>
      </c>
      <c r="F158" s="192">
        <v>258544</v>
      </c>
      <c r="G158" s="249">
        <f>SUM('7.2.. sz mell.'!G37)</f>
        <v>27272</v>
      </c>
      <c r="H158" s="192">
        <f t="shared" si="5"/>
        <v>10.548301256265857</v>
      </c>
    </row>
    <row r="159" spans="1:11" ht="19.5" hidden="1" customHeight="1" x14ac:dyDescent="0.25">
      <c r="A159" s="1530" t="s">
        <v>451</v>
      </c>
      <c r="B159" s="1530" t="s">
        <v>234</v>
      </c>
      <c r="C159" s="1530"/>
      <c r="D159" s="1530" t="s">
        <v>235</v>
      </c>
      <c r="E159" s="205">
        <f>E158+E157</f>
        <v>115000</v>
      </c>
      <c r="F159" s="205">
        <f>F158+F157</f>
        <v>258544</v>
      </c>
      <c r="G159" s="1122">
        <f>G158+G157</f>
        <v>27272</v>
      </c>
      <c r="H159" s="205">
        <f t="shared" si="5"/>
        <v>10.548301256265857</v>
      </c>
      <c r="K159" s="168"/>
    </row>
    <row r="160" spans="1:11" ht="19.5" hidden="1" customHeight="1" x14ac:dyDescent="0.25">
      <c r="A160" s="1530"/>
      <c r="B160" s="1530"/>
      <c r="C160" s="1530"/>
      <c r="D160" s="1530"/>
      <c r="E160" s="205">
        <f>E155+E159</f>
        <v>337432</v>
      </c>
      <c r="F160" s="205">
        <f>F155+F159</f>
        <v>961835</v>
      </c>
      <c r="G160" s="214"/>
      <c r="H160" s="205">
        <f t="shared" si="5"/>
        <v>0</v>
      </c>
      <c r="K160" s="168"/>
    </row>
    <row r="161" spans="1:11" ht="19.5" customHeight="1" x14ac:dyDescent="0.25">
      <c r="A161" s="1548" t="s">
        <v>1785</v>
      </c>
      <c r="B161" s="1548"/>
      <c r="C161" s="1548"/>
      <c r="D161" s="1548"/>
      <c r="E161" s="1251"/>
      <c r="F161" s="1251"/>
      <c r="G161" s="177"/>
      <c r="H161" s="1251"/>
      <c r="K161" s="168"/>
    </row>
    <row r="162" spans="1:11" s="183" customFormat="1" ht="16.5" x14ac:dyDescent="0.25">
      <c r="A162" s="291"/>
      <c r="B162" s="292"/>
      <c r="C162" s="293" t="s">
        <v>720</v>
      </c>
      <c r="D162" s="294" t="s">
        <v>453</v>
      </c>
      <c r="E162" s="295">
        <f>E163</f>
        <v>64000</v>
      </c>
      <c r="F162" s="295">
        <f>F163</f>
        <v>64000</v>
      </c>
      <c r="G162" s="1121">
        <f>G163</f>
        <v>5790</v>
      </c>
      <c r="H162" s="295">
        <f t="shared" si="5"/>
        <v>9.046875</v>
      </c>
    </row>
    <row r="163" spans="1:11" ht="15" customHeight="1" x14ac:dyDescent="0.25">
      <c r="A163" s="253"/>
      <c r="B163" s="254"/>
      <c r="C163" s="255" t="s">
        <v>1599</v>
      </c>
      <c r="D163" s="296" t="s">
        <v>455</v>
      </c>
      <c r="E163" s="297">
        <f>SUM(E164+E166+E165+E167)</f>
        <v>64000</v>
      </c>
      <c r="F163" s="297">
        <f t="shared" ref="F163:G163" si="6">SUM(F164+F166+F165+F167)</f>
        <v>64000</v>
      </c>
      <c r="G163" s="281">
        <f t="shared" si="6"/>
        <v>5790</v>
      </c>
      <c r="H163" s="297">
        <f t="shared" si="5"/>
        <v>9.046875</v>
      </c>
    </row>
    <row r="164" spans="1:11" ht="15" x14ac:dyDescent="0.25">
      <c r="A164" s="253"/>
      <c r="B164" s="254"/>
      <c r="C164" s="255" t="s">
        <v>1600</v>
      </c>
      <c r="D164" s="755" t="s">
        <v>456</v>
      </c>
      <c r="E164" s="756">
        <v>4000</v>
      </c>
      <c r="F164" s="298">
        <v>4000</v>
      </c>
      <c r="G164" s="242">
        <v>1250</v>
      </c>
      <c r="H164" s="298"/>
    </row>
    <row r="165" spans="1:11" ht="15" x14ac:dyDescent="0.25">
      <c r="A165" s="253"/>
      <c r="B165" s="254"/>
      <c r="C165" s="255" t="s">
        <v>1601</v>
      </c>
      <c r="D165" s="755" t="s">
        <v>457</v>
      </c>
      <c r="E165" s="756">
        <v>52800</v>
      </c>
      <c r="F165" s="756">
        <v>52800</v>
      </c>
      <c r="G165" s="242">
        <v>1115</v>
      </c>
      <c r="H165" s="756">
        <f t="shared" si="5"/>
        <v>2.1117424242424243</v>
      </c>
      <c r="I165" s="752"/>
    </row>
    <row r="166" spans="1:11" ht="15" x14ac:dyDescent="0.25">
      <c r="A166" s="253"/>
      <c r="B166" s="254"/>
      <c r="C166" s="255" t="s">
        <v>1602</v>
      </c>
      <c r="D166" s="755" t="s">
        <v>458</v>
      </c>
      <c r="E166" s="756">
        <v>7200</v>
      </c>
      <c r="F166" s="298">
        <v>7200</v>
      </c>
      <c r="G166" s="242">
        <v>2175</v>
      </c>
      <c r="H166" s="298"/>
    </row>
    <row r="167" spans="1:11" ht="15" x14ac:dyDescent="0.25">
      <c r="A167" s="253"/>
      <c r="B167" s="254"/>
      <c r="C167" s="255" t="s">
        <v>1790</v>
      </c>
      <c r="D167" s="755" t="s">
        <v>459</v>
      </c>
      <c r="E167" s="756">
        <v>0</v>
      </c>
      <c r="F167" s="298">
        <v>0</v>
      </c>
      <c r="G167" s="242">
        <v>1250</v>
      </c>
      <c r="H167" s="298" t="e">
        <f t="shared" si="5"/>
        <v>#DIV/0!</v>
      </c>
    </row>
    <row r="168" spans="1:11" ht="19.5" hidden="1" customHeight="1" x14ac:dyDescent="0.25">
      <c r="A168" s="1530" t="s">
        <v>460</v>
      </c>
      <c r="B168" s="1530"/>
      <c r="C168" s="1530"/>
      <c r="D168" s="1530"/>
      <c r="E168" s="205">
        <f>E162</f>
        <v>64000</v>
      </c>
      <c r="F168" s="205">
        <f>F162</f>
        <v>64000</v>
      </c>
      <c r="G168" s="205"/>
      <c r="H168" s="205">
        <f t="shared" si="5"/>
        <v>0</v>
      </c>
      <c r="K168" s="168"/>
    </row>
    <row r="169" spans="1:11" ht="19.5" customHeight="1" x14ac:dyDescent="0.25">
      <c r="A169" s="1531" t="s">
        <v>461</v>
      </c>
      <c r="B169" s="1531"/>
      <c r="C169" s="1531"/>
      <c r="D169" s="1531"/>
      <c r="E169" s="177">
        <f>E160+E168</f>
        <v>401432</v>
      </c>
      <c r="F169" s="177">
        <f>F160+F168</f>
        <v>1025835</v>
      </c>
      <c r="G169" s="177">
        <f>SUM(G139+G140+G143+G149+G156)</f>
        <v>252772</v>
      </c>
      <c r="H169" s="177">
        <f t="shared" si="5"/>
        <v>24.640609844663128</v>
      </c>
      <c r="I169" s="227"/>
      <c r="J169" s="227"/>
      <c r="K169" s="227"/>
    </row>
    <row r="170" spans="1:11" s="1253" customFormat="1" ht="19.5" customHeight="1" x14ac:dyDescent="0.3">
      <c r="A170" s="1547" t="s">
        <v>1552</v>
      </c>
      <c r="B170" s="1547"/>
      <c r="C170" s="1547"/>
      <c r="D170" s="1547"/>
      <c r="E170" s="1547"/>
      <c r="F170" s="1313"/>
      <c r="G170" s="1313"/>
      <c r="H170" s="1252"/>
    </row>
    <row r="171" spans="1:11" ht="19.5" customHeight="1" x14ac:dyDescent="0.25">
      <c r="A171" s="1548" t="s">
        <v>271</v>
      </c>
      <c r="B171" s="1548"/>
      <c r="C171" s="1548"/>
      <c r="D171" s="1548"/>
      <c r="E171" s="299"/>
      <c r="F171" s="299"/>
      <c r="G171" s="299"/>
      <c r="H171" s="299"/>
      <c r="I171" s="227"/>
      <c r="J171" s="227"/>
      <c r="K171" s="227"/>
    </row>
    <row r="172" spans="1:11" ht="15" x14ac:dyDescent="0.25">
      <c r="A172" s="228"/>
      <c r="B172" s="229" t="s">
        <v>4</v>
      </c>
      <c r="C172" s="230"/>
      <c r="D172" s="231" t="s">
        <v>1553</v>
      </c>
      <c r="E172" s="176">
        <f>SUM(E173:E175)</f>
        <v>284646</v>
      </c>
      <c r="F172" s="176">
        <f>SUM(F173:F175)</f>
        <v>522514</v>
      </c>
      <c r="G172" s="176">
        <f>SUM(G173:G175)</f>
        <v>268210</v>
      </c>
      <c r="H172" s="176">
        <f t="shared" si="5"/>
        <v>51.330682048710649</v>
      </c>
    </row>
    <row r="173" spans="1:11" ht="15" x14ac:dyDescent="0.25">
      <c r="A173" s="228"/>
      <c r="B173" s="229"/>
      <c r="C173" s="245" t="s">
        <v>462</v>
      </c>
      <c r="D173" s="191" t="s">
        <v>272</v>
      </c>
      <c r="E173" s="234">
        <v>9996</v>
      </c>
      <c r="F173" s="234">
        <v>31421</v>
      </c>
      <c r="G173" s="234">
        <v>14180</v>
      </c>
      <c r="H173" s="234">
        <f t="shared" si="5"/>
        <v>45.129053817510581</v>
      </c>
    </row>
    <row r="174" spans="1:11" ht="15" x14ac:dyDescent="0.25">
      <c r="A174" s="228"/>
      <c r="B174" s="229"/>
      <c r="C174" s="245" t="s">
        <v>463</v>
      </c>
      <c r="D174" s="191" t="s">
        <v>273</v>
      </c>
      <c r="E174" s="234">
        <v>2699</v>
      </c>
      <c r="F174" s="234">
        <v>8444</v>
      </c>
      <c r="G174" s="234">
        <v>3871</v>
      </c>
      <c r="H174" s="234">
        <f t="shared" si="5"/>
        <v>45.843202273803882</v>
      </c>
    </row>
    <row r="175" spans="1:11" ht="15" x14ac:dyDescent="0.25">
      <c r="A175" s="190"/>
      <c r="B175" s="244"/>
      <c r="C175" s="245" t="s">
        <v>464</v>
      </c>
      <c r="D175" s="191" t="s">
        <v>55</v>
      </c>
      <c r="E175" s="192">
        <f>SUM(E176:E180)</f>
        <v>271951</v>
      </c>
      <c r="F175" s="192">
        <f t="shared" ref="F175" si="7">SUM(F176:F180)</f>
        <v>482649</v>
      </c>
      <c r="G175" s="192">
        <f>SUM(G176:G181)</f>
        <v>250159</v>
      </c>
      <c r="H175" s="192">
        <f t="shared" si="5"/>
        <v>51.830419207332866</v>
      </c>
    </row>
    <row r="176" spans="1:11" ht="15" x14ac:dyDescent="0.25">
      <c r="A176" s="190"/>
      <c r="B176" s="244"/>
      <c r="C176" s="245"/>
      <c r="D176" s="191" t="s">
        <v>1051</v>
      </c>
      <c r="E176" s="192">
        <v>209051</v>
      </c>
      <c r="F176" s="192">
        <v>419696</v>
      </c>
      <c r="G176" s="192">
        <v>179259</v>
      </c>
      <c r="H176" s="192">
        <f t="shared" si="5"/>
        <v>42.711629369829588</v>
      </c>
      <c r="J176" s="168">
        <v>219985</v>
      </c>
    </row>
    <row r="177" spans="1:9" ht="15" x14ac:dyDescent="0.25">
      <c r="A177" s="190"/>
      <c r="B177" s="244"/>
      <c r="C177" s="245"/>
      <c r="D177" s="191" t="s">
        <v>1048</v>
      </c>
      <c r="E177" s="192">
        <v>24700</v>
      </c>
      <c r="F177" s="192">
        <v>24700</v>
      </c>
      <c r="G177" s="192">
        <v>24700</v>
      </c>
      <c r="H177" s="192">
        <f t="shared" si="5"/>
        <v>100</v>
      </c>
    </row>
    <row r="178" spans="1:9" ht="15" x14ac:dyDescent="0.25">
      <c r="A178" s="190"/>
      <c r="B178" s="244"/>
      <c r="C178" s="245"/>
      <c r="D178" s="191" t="s">
        <v>1049</v>
      </c>
      <c r="E178" s="192">
        <v>15600</v>
      </c>
      <c r="F178" s="192">
        <v>15600</v>
      </c>
      <c r="G178" s="192">
        <v>15600</v>
      </c>
      <c r="H178" s="192">
        <f t="shared" si="5"/>
        <v>100</v>
      </c>
    </row>
    <row r="179" spans="1:9" ht="15" x14ac:dyDescent="0.25">
      <c r="A179" s="190"/>
      <c r="B179" s="244"/>
      <c r="C179" s="245"/>
      <c r="D179" s="191" t="s">
        <v>1050</v>
      </c>
      <c r="E179" s="192">
        <v>20600</v>
      </c>
      <c r="F179" s="192">
        <v>20600</v>
      </c>
      <c r="G179" s="192">
        <v>20600</v>
      </c>
      <c r="H179" s="192">
        <f t="shared" si="5"/>
        <v>100</v>
      </c>
    </row>
    <row r="180" spans="1:9" ht="15" x14ac:dyDescent="0.25">
      <c r="A180" s="190"/>
      <c r="B180" s="244"/>
      <c r="C180" s="245"/>
      <c r="D180" s="191" t="s">
        <v>1052</v>
      </c>
      <c r="E180" s="192">
        <v>2000</v>
      </c>
      <c r="F180" s="192">
        <v>2053</v>
      </c>
      <c r="G180" s="192">
        <v>2000</v>
      </c>
      <c r="H180" s="192">
        <f t="shared" si="5"/>
        <v>97.418412079883097</v>
      </c>
    </row>
    <row r="181" spans="1:9" ht="15" x14ac:dyDescent="0.25">
      <c r="A181" s="1049"/>
      <c r="B181" s="1050"/>
      <c r="C181" s="1051"/>
      <c r="D181" s="191" t="s">
        <v>1425</v>
      </c>
      <c r="E181" s="1052"/>
      <c r="F181" s="1052"/>
      <c r="G181" s="1052">
        <v>8000</v>
      </c>
      <c r="H181" s="1052"/>
    </row>
    <row r="182" spans="1:9" ht="15" x14ac:dyDescent="0.25">
      <c r="A182" s="190"/>
      <c r="B182" s="244"/>
      <c r="C182" s="245"/>
      <c r="D182" s="236" t="s">
        <v>465</v>
      </c>
      <c r="E182" s="300">
        <v>8.5</v>
      </c>
      <c r="F182" s="300">
        <v>8.5</v>
      </c>
      <c r="G182" s="300">
        <v>10</v>
      </c>
      <c r="H182" s="300"/>
    </row>
    <row r="183" spans="1:9" ht="15" x14ac:dyDescent="0.25">
      <c r="A183" s="190"/>
      <c r="B183" s="173" t="s">
        <v>6</v>
      </c>
      <c r="C183" s="174"/>
      <c r="D183" s="236" t="s">
        <v>1554</v>
      </c>
      <c r="E183" s="237">
        <f>SUM(E184)</f>
        <v>55000</v>
      </c>
      <c r="F183" s="237">
        <f>SUM(F184)</f>
        <v>55000</v>
      </c>
      <c r="G183" s="237">
        <f>SUM(G184)</f>
        <v>51720</v>
      </c>
      <c r="H183" s="237">
        <f t="shared" si="5"/>
        <v>94.036363636363646</v>
      </c>
    </row>
    <row r="184" spans="1:9" ht="15" x14ac:dyDescent="0.25">
      <c r="A184" s="190"/>
      <c r="B184" s="173"/>
      <c r="C184" s="245" t="s">
        <v>259</v>
      </c>
      <c r="D184" s="191" t="s">
        <v>55</v>
      </c>
      <c r="E184" s="192">
        <v>55000</v>
      </c>
      <c r="F184" s="192">
        <v>55000</v>
      </c>
      <c r="G184" s="192">
        <v>51720</v>
      </c>
      <c r="H184" s="192">
        <f t="shared" si="5"/>
        <v>94.036363636363646</v>
      </c>
    </row>
    <row r="185" spans="1:9" ht="29.25" hidden="1" customHeight="1" x14ac:dyDescent="0.2">
      <c r="A185" s="301"/>
      <c r="B185" s="229" t="s">
        <v>7</v>
      </c>
      <c r="C185" s="230"/>
      <c r="D185" s="302" t="s">
        <v>466</v>
      </c>
      <c r="E185" s="303"/>
      <c r="F185" s="303"/>
      <c r="G185" s="303"/>
      <c r="H185" s="303" t="e">
        <f t="shared" ref="H185:H233" si="8">G185/F185*100</f>
        <v>#DIV/0!</v>
      </c>
      <c r="I185" s="197"/>
    </row>
    <row r="186" spans="1:9" ht="15" hidden="1" customHeight="1" x14ac:dyDescent="0.25">
      <c r="A186" s="172"/>
      <c r="B186" s="173"/>
      <c r="C186" s="245" t="s">
        <v>260</v>
      </c>
      <c r="D186" s="191" t="s">
        <v>272</v>
      </c>
      <c r="E186" s="303"/>
      <c r="F186" s="303"/>
      <c r="G186" s="303"/>
      <c r="H186" s="303" t="e">
        <f t="shared" si="8"/>
        <v>#DIV/0!</v>
      </c>
    </row>
    <row r="187" spans="1:9" ht="15" hidden="1" customHeight="1" x14ac:dyDescent="0.25">
      <c r="A187" s="172"/>
      <c r="B187" s="173"/>
      <c r="C187" s="245" t="s">
        <v>467</v>
      </c>
      <c r="D187" s="191" t="s">
        <v>273</v>
      </c>
      <c r="E187" s="303"/>
      <c r="F187" s="303"/>
      <c r="G187" s="303"/>
      <c r="H187" s="303" t="e">
        <f t="shared" si="8"/>
        <v>#DIV/0!</v>
      </c>
    </row>
    <row r="188" spans="1:9" ht="15" hidden="1" customHeight="1" x14ac:dyDescent="0.25">
      <c r="A188" s="172"/>
      <c r="B188" s="173"/>
      <c r="C188" s="245" t="s">
        <v>468</v>
      </c>
      <c r="D188" s="191" t="s">
        <v>276</v>
      </c>
      <c r="E188" s="303"/>
      <c r="F188" s="303"/>
      <c r="G188" s="303"/>
      <c r="H188" s="303" t="e">
        <f t="shared" si="8"/>
        <v>#DIV/0!</v>
      </c>
    </row>
    <row r="189" spans="1:9" ht="15" hidden="1" customHeight="1" x14ac:dyDescent="0.2">
      <c r="A189" s="172"/>
      <c r="B189" s="173"/>
      <c r="C189" s="304"/>
      <c r="D189" s="236" t="s">
        <v>465</v>
      </c>
      <c r="E189" s="305"/>
      <c r="F189" s="305"/>
      <c r="G189" s="305"/>
      <c r="H189" s="305" t="e">
        <f t="shared" si="8"/>
        <v>#DIV/0!</v>
      </c>
    </row>
    <row r="190" spans="1:9" ht="15" customHeight="1" x14ac:dyDescent="0.2">
      <c r="A190" s="172"/>
      <c r="B190" s="173" t="s">
        <v>7</v>
      </c>
      <c r="C190" s="174"/>
      <c r="D190" s="236" t="s">
        <v>1555</v>
      </c>
      <c r="E190" s="306">
        <f>SUM(E191:E193)</f>
        <v>11965</v>
      </c>
      <c r="F190" s="306">
        <f>SUM(F191:F193)</f>
        <v>25529</v>
      </c>
      <c r="G190" s="306">
        <f>SUM(G191:G193)</f>
        <v>13627</v>
      </c>
      <c r="H190" s="306">
        <f t="shared" si="8"/>
        <v>53.37851071330644</v>
      </c>
    </row>
    <row r="191" spans="1:9" ht="15" customHeight="1" x14ac:dyDescent="0.25">
      <c r="A191" s="172"/>
      <c r="B191" s="173"/>
      <c r="C191" s="245" t="s">
        <v>469</v>
      </c>
      <c r="D191" s="191" t="s">
        <v>272</v>
      </c>
      <c r="E191" s="192">
        <v>4059</v>
      </c>
      <c r="F191" s="192">
        <v>16007</v>
      </c>
      <c r="G191" s="192">
        <v>4360</v>
      </c>
      <c r="H191" s="192">
        <f t="shared" si="8"/>
        <v>27.238083338539386</v>
      </c>
    </row>
    <row r="192" spans="1:9" ht="15" customHeight="1" x14ac:dyDescent="0.25">
      <c r="A192" s="172"/>
      <c r="B192" s="173"/>
      <c r="C192" s="245" t="s">
        <v>470</v>
      </c>
      <c r="D192" s="191" t="s">
        <v>273</v>
      </c>
      <c r="E192" s="192">
        <v>748</v>
      </c>
      <c r="F192" s="192">
        <v>2364</v>
      </c>
      <c r="G192" s="192">
        <v>1190</v>
      </c>
      <c r="H192" s="192">
        <f t="shared" si="8"/>
        <v>50.338409475465319</v>
      </c>
    </row>
    <row r="193" spans="1:8" ht="15" customHeight="1" x14ac:dyDescent="0.25">
      <c r="A193" s="172"/>
      <c r="B193" s="173"/>
      <c r="C193" s="245" t="s">
        <v>471</v>
      </c>
      <c r="D193" s="191" t="s">
        <v>55</v>
      </c>
      <c r="E193" s="192">
        <v>7158</v>
      </c>
      <c r="F193" s="192">
        <v>7158</v>
      </c>
      <c r="G193" s="192">
        <v>8077</v>
      </c>
      <c r="H193" s="192">
        <f t="shared" si="8"/>
        <v>112.83878178262083</v>
      </c>
    </row>
    <row r="194" spans="1:8" ht="15" customHeight="1" x14ac:dyDescent="0.2">
      <c r="A194" s="172"/>
      <c r="B194" s="173"/>
      <c r="C194" s="174"/>
      <c r="D194" s="236" t="s">
        <v>465</v>
      </c>
      <c r="E194" s="300">
        <v>13.5</v>
      </c>
      <c r="F194" s="300">
        <v>13.5</v>
      </c>
      <c r="G194" s="300">
        <v>43.5</v>
      </c>
      <c r="H194" s="305"/>
    </row>
    <row r="195" spans="1:8" ht="15" customHeight="1" x14ac:dyDescent="0.2">
      <c r="A195" s="172"/>
      <c r="B195" s="173" t="s">
        <v>8</v>
      </c>
      <c r="C195" s="174"/>
      <c r="D195" s="236" t="s">
        <v>472</v>
      </c>
      <c r="E195" s="306">
        <f>SUM(E196:E198)</f>
        <v>17171</v>
      </c>
      <c r="F195" s="306">
        <f>SUM(F196:F198)</f>
        <v>17196</v>
      </c>
      <c r="G195" s="306">
        <f>SUM(G196:G198)</f>
        <v>15170</v>
      </c>
      <c r="H195" s="306">
        <f t="shared" si="8"/>
        <v>88.218190276808556</v>
      </c>
    </row>
    <row r="196" spans="1:8" ht="15" customHeight="1" x14ac:dyDescent="0.25">
      <c r="A196" s="172"/>
      <c r="B196" s="173"/>
      <c r="C196" s="245" t="s">
        <v>473</v>
      </c>
      <c r="D196" s="191" t="s">
        <v>272</v>
      </c>
      <c r="E196" s="192">
        <v>1335</v>
      </c>
      <c r="F196" s="192">
        <v>1335</v>
      </c>
      <c r="G196" s="192">
        <v>1377</v>
      </c>
      <c r="H196" s="192">
        <f t="shared" si="8"/>
        <v>103.14606741573033</v>
      </c>
    </row>
    <row r="197" spans="1:8" ht="15" customHeight="1" x14ac:dyDescent="0.25">
      <c r="A197" s="172"/>
      <c r="B197" s="173"/>
      <c r="C197" s="245" t="s">
        <v>474</v>
      </c>
      <c r="D197" s="191" t="s">
        <v>273</v>
      </c>
      <c r="E197" s="192">
        <v>345</v>
      </c>
      <c r="F197" s="192">
        <v>345</v>
      </c>
      <c r="G197" s="192">
        <v>388</v>
      </c>
      <c r="H197" s="192">
        <f t="shared" si="8"/>
        <v>112.46376811594203</v>
      </c>
    </row>
    <row r="198" spans="1:8" ht="15" customHeight="1" x14ac:dyDescent="0.25">
      <c r="A198" s="172"/>
      <c r="B198" s="173"/>
      <c r="C198" s="245" t="s">
        <v>475</v>
      </c>
      <c r="D198" s="191" t="s">
        <v>55</v>
      </c>
      <c r="E198" s="192">
        <v>15491</v>
      </c>
      <c r="F198" s="192">
        <v>15516</v>
      </c>
      <c r="G198" s="192">
        <v>13405</v>
      </c>
      <c r="H198" s="192">
        <f t="shared" si="8"/>
        <v>86.394689352926008</v>
      </c>
    </row>
    <row r="199" spans="1:8" ht="15" customHeight="1" x14ac:dyDescent="0.2">
      <c r="A199" s="172"/>
      <c r="B199" s="173"/>
      <c r="C199" s="174"/>
      <c r="D199" s="236" t="s">
        <v>465</v>
      </c>
      <c r="E199" s="305">
        <v>1</v>
      </c>
      <c r="F199" s="305">
        <v>1</v>
      </c>
      <c r="G199" s="305">
        <v>1</v>
      </c>
      <c r="H199" s="305"/>
    </row>
    <row r="200" spans="1:8" ht="15" customHeight="1" x14ac:dyDescent="0.2">
      <c r="A200" s="172"/>
      <c r="B200" s="173" t="s">
        <v>9</v>
      </c>
      <c r="C200" s="174"/>
      <c r="D200" s="236" t="s">
        <v>1556</v>
      </c>
      <c r="E200" s="306">
        <f>SUM(E201)</f>
        <v>3810</v>
      </c>
      <c r="F200" s="306">
        <f>SUM(F201)</f>
        <v>3810</v>
      </c>
      <c r="G200" s="306">
        <f>SUM(G201)</f>
        <v>3810</v>
      </c>
      <c r="H200" s="306">
        <f t="shared" si="8"/>
        <v>100</v>
      </c>
    </row>
    <row r="201" spans="1:8" ht="15" customHeight="1" x14ac:dyDescent="0.25">
      <c r="A201" s="172"/>
      <c r="B201" s="173"/>
      <c r="C201" s="245" t="s">
        <v>438</v>
      </c>
      <c r="D201" s="191" t="s">
        <v>55</v>
      </c>
      <c r="E201" s="192">
        <v>3810</v>
      </c>
      <c r="F201" s="192">
        <v>3810</v>
      </c>
      <c r="G201" s="192">
        <v>3810</v>
      </c>
      <c r="H201" s="192">
        <f t="shared" si="8"/>
        <v>100</v>
      </c>
    </row>
    <row r="202" spans="1:8" ht="15" customHeight="1" x14ac:dyDescent="0.2">
      <c r="A202" s="172"/>
      <c r="B202" s="173" t="s">
        <v>10</v>
      </c>
      <c r="C202" s="174"/>
      <c r="D202" s="236" t="s">
        <v>1560</v>
      </c>
      <c r="E202" s="306">
        <f>SUM(E203)</f>
        <v>12145</v>
      </c>
      <c r="F202" s="306">
        <f>SUM(F203)</f>
        <v>13163</v>
      </c>
      <c r="G202" s="306">
        <f>SUM(G203)</f>
        <v>20000</v>
      </c>
      <c r="H202" s="306">
        <f t="shared" si="8"/>
        <v>151.94104687381295</v>
      </c>
    </row>
    <row r="203" spans="1:8" ht="15" customHeight="1" x14ac:dyDescent="0.25">
      <c r="A203" s="172"/>
      <c r="B203" s="173"/>
      <c r="C203" s="245" t="s">
        <v>476</v>
      </c>
      <c r="D203" s="191" t="s">
        <v>55</v>
      </c>
      <c r="E203" s="192">
        <v>12145</v>
      </c>
      <c r="F203" s="192">
        <v>13163</v>
      </c>
      <c r="G203" s="192">
        <v>20000</v>
      </c>
      <c r="H203" s="192">
        <f t="shared" si="8"/>
        <v>151.94104687381295</v>
      </c>
    </row>
    <row r="204" spans="1:8" ht="15" customHeight="1" x14ac:dyDescent="0.2">
      <c r="A204" s="172"/>
      <c r="B204" s="173" t="s">
        <v>11</v>
      </c>
      <c r="C204" s="174"/>
      <c r="D204" s="236" t="s">
        <v>1557</v>
      </c>
      <c r="E204" s="237">
        <f>SUM(E205)</f>
        <v>50000</v>
      </c>
      <c r="F204" s="237">
        <f>SUM(F205)</f>
        <v>46947</v>
      </c>
      <c r="G204" s="237">
        <f>SUM(G205)</f>
        <v>20000</v>
      </c>
      <c r="H204" s="237">
        <f t="shared" si="8"/>
        <v>42.601231175580971</v>
      </c>
    </row>
    <row r="205" spans="1:8" ht="15" customHeight="1" x14ac:dyDescent="0.25">
      <c r="A205" s="190"/>
      <c r="B205" s="244"/>
      <c r="C205" s="245" t="s">
        <v>477</v>
      </c>
      <c r="D205" s="191" t="s">
        <v>55</v>
      </c>
      <c r="E205" s="192">
        <v>50000</v>
      </c>
      <c r="F205" s="192">
        <v>46947</v>
      </c>
      <c r="G205" s="192">
        <v>20000</v>
      </c>
      <c r="H205" s="192">
        <f t="shared" si="8"/>
        <v>42.601231175580971</v>
      </c>
    </row>
    <row r="206" spans="1:8" ht="15" hidden="1" customHeight="1" x14ac:dyDescent="0.2">
      <c r="A206" s="172"/>
      <c r="B206" s="173" t="s">
        <v>9</v>
      </c>
      <c r="C206" s="174"/>
      <c r="D206" s="236" t="s">
        <v>478</v>
      </c>
      <c r="E206" s="303"/>
      <c r="F206" s="303"/>
      <c r="G206" s="303"/>
      <c r="H206" s="303" t="e">
        <f t="shared" si="8"/>
        <v>#DIV/0!</v>
      </c>
    </row>
    <row r="207" spans="1:8" ht="15" hidden="1" customHeight="1" x14ac:dyDescent="0.25">
      <c r="A207" s="190"/>
      <c r="B207" s="244"/>
      <c r="C207" s="245" t="s">
        <v>479</v>
      </c>
      <c r="D207" s="191" t="s">
        <v>276</v>
      </c>
      <c r="E207" s="202"/>
      <c r="F207" s="202"/>
      <c r="G207" s="202"/>
      <c r="H207" s="202" t="e">
        <f t="shared" si="8"/>
        <v>#DIV/0!</v>
      </c>
    </row>
    <row r="208" spans="1:8" ht="15" hidden="1" customHeight="1" x14ac:dyDescent="0.2">
      <c r="A208" s="172"/>
      <c r="B208" s="173" t="s">
        <v>10</v>
      </c>
      <c r="C208" s="174"/>
      <c r="D208" s="236" t="s">
        <v>480</v>
      </c>
      <c r="E208" s="303"/>
      <c r="F208" s="303"/>
      <c r="G208" s="303"/>
      <c r="H208" s="303" t="e">
        <f t="shared" si="8"/>
        <v>#DIV/0!</v>
      </c>
    </row>
    <row r="209" spans="1:18" ht="15" hidden="1" customHeight="1" x14ac:dyDescent="0.25">
      <c r="A209" s="190"/>
      <c r="B209" s="244"/>
      <c r="C209" s="245" t="s">
        <v>481</v>
      </c>
      <c r="D209" s="191" t="s">
        <v>272</v>
      </c>
      <c r="E209" s="202"/>
      <c r="F209" s="202"/>
      <c r="G209" s="202"/>
      <c r="H209" s="202" t="e">
        <f t="shared" si="8"/>
        <v>#DIV/0!</v>
      </c>
    </row>
    <row r="210" spans="1:18" ht="15" hidden="1" customHeight="1" x14ac:dyDescent="0.25">
      <c r="A210" s="190"/>
      <c r="B210" s="244"/>
      <c r="C210" s="245" t="s">
        <v>482</v>
      </c>
      <c r="D210" s="191" t="s">
        <v>273</v>
      </c>
      <c r="E210" s="202"/>
      <c r="F210" s="202"/>
      <c r="G210" s="202"/>
      <c r="H210" s="202" t="e">
        <f t="shared" si="8"/>
        <v>#DIV/0!</v>
      </c>
    </row>
    <row r="211" spans="1:18" ht="15" hidden="1" customHeight="1" x14ac:dyDescent="0.25">
      <c r="A211" s="190"/>
      <c r="B211" s="244"/>
      <c r="C211" s="245" t="s">
        <v>483</v>
      </c>
      <c r="D211" s="191" t="s">
        <v>276</v>
      </c>
      <c r="E211" s="202"/>
      <c r="F211" s="202"/>
      <c r="G211" s="202"/>
      <c r="H211" s="202" t="e">
        <f t="shared" si="8"/>
        <v>#DIV/0!</v>
      </c>
    </row>
    <row r="212" spans="1:18" ht="15" hidden="1" customHeight="1" x14ac:dyDescent="0.25">
      <c r="A212" s="190"/>
      <c r="B212" s="244"/>
      <c r="C212" s="174" t="s">
        <v>484</v>
      </c>
      <c r="D212" s="236" t="s">
        <v>465</v>
      </c>
      <c r="E212" s="307"/>
      <c r="F212" s="307"/>
      <c r="G212" s="307"/>
      <c r="H212" s="307" t="e">
        <f t="shared" si="8"/>
        <v>#DIV/0!</v>
      </c>
    </row>
    <row r="213" spans="1:18" ht="15" customHeight="1" x14ac:dyDescent="0.25">
      <c r="A213" s="190"/>
      <c r="B213" s="173" t="s">
        <v>266</v>
      </c>
      <c r="C213" s="174"/>
      <c r="D213" s="236" t="s">
        <v>1558</v>
      </c>
      <c r="E213" s="306">
        <f>SUM(E214)</f>
        <v>32000</v>
      </c>
      <c r="F213" s="306">
        <f>SUM(F214)</f>
        <v>37386</v>
      </c>
      <c r="G213" s="306">
        <f>SUM(G214)</f>
        <v>32000</v>
      </c>
      <c r="H213" s="306">
        <f t="shared" si="8"/>
        <v>85.593537687904558</v>
      </c>
    </row>
    <row r="214" spans="1:18" ht="15" customHeight="1" x14ac:dyDescent="0.25">
      <c r="A214" s="190"/>
      <c r="B214" s="244"/>
      <c r="C214" s="174" t="s">
        <v>485</v>
      </c>
      <c r="D214" s="191" t="s">
        <v>55</v>
      </c>
      <c r="E214" s="192">
        <v>32000</v>
      </c>
      <c r="F214" s="192">
        <v>37386</v>
      </c>
      <c r="G214" s="192">
        <v>32000</v>
      </c>
      <c r="H214" s="192">
        <f t="shared" si="8"/>
        <v>85.593537687904558</v>
      </c>
    </row>
    <row r="215" spans="1:18" ht="15.75" customHeight="1" x14ac:dyDescent="0.2">
      <c r="A215" s="172"/>
      <c r="B215" s="173" t="s">
        <v>449</v>
      </c>
      <c r="C215" s="174"/>
      <c r="D215" s="308" t="s">
        <v>1559</v>
      </c>
      <c r="E215" s="237">
        <f>SUM(E216:E218)</f>
        <v>6706</v>
      </c>
      <c r="F215" s="237">
        <f>SUM(F216:F218)</f>
        <v>6706</v>
      </c>
      <c r="G215" s="237">
        <f>SUM(G216:G218)</f>
        <v>6706</v>
      </c>
      <c r="H215" s="237">
        <f t="shared" si="8"/>
        <v>100</v>
      </c>
    </row>
    <row r="216" spans="1:18" ht="15" customHeight="1" x14ac:dyDescent="0.25">
      <c r="A216" s="190"/>
      <c r="B216" s="244"/>
      <c r="C216" s="245" t="s">
        <v>486</v>
      </c>
      <c r="D216" s="191" t="s">
        <v>272</v>
      </c>
      <c r="E216" s="192">
        <v>780</v>
      </c>
      <c r="F216" s="192">
        <v>780</v>
      </c>
      <c r="G216" s="192">
        <v>780</v>
      </c>
      <c r="H216" s="192">
        <f t="shared" si="8"/>
        <v>100</v>
      </c>
    </row>
    <row r="217" spans="1:18" ht="15" x14ac:dyDescent="0.25">
      <c r="A217" s="190"/>
      <c r="B217" s="244"/>
      <c r="C217" s="245" t="s">
        <v>487</v>
      </c>
      <c r="D217" s="191" t="s">
        <v>273</v>
      </c>
      <c r="E217" s="192">
        <v>211</v>
      </c>
      <c r="F217" s="192">
        <v>211</v>
      </c>
      <c r="G217" s="192">
        <v>211</v>
      </c>
      <c r="H217" s="192">
        <f t="shared" si="8"/>
        <v>100</v>
      </c>
    </row>
    <row r="218" spans="1:18" ht="15" customHeight="1" x14ac:dyDescent="0.25">
      <c r="A218" s="190"/>
      <c r="B218" s="244"/>
      <c r="C218" s="245" t="s">
        <v>488</v>
      </c>
      <c r="D218" s="191" t="s">
        <v>55</v>
      </c>
      <c r="E218" s="192">
        <v>5715</v>
      </c>
      <c r="F218" s="192">
        <v>5715</v>
      </c>
      <c r="G218" s="192">
        <v>5715</v>
      </c>
      <c r="H218" s="192">
        <f t="shared" si="8"/>
        <v>100</v>
      </c>
    </row>
    <row r="219" spans="1:18" ht="15" hidden="1" customHeight="1" x14ac:dyDescent="0.25">
      <c r="A219" s="190"/>
      <c r="B219" s="173" t="s">
        <v>452</v>
      </c>
      <c r="C219" s="174"/>
      <c r="D219" s="236" t="s">
        <v>489</v>
      </c>
      <c r="E219" s="306">
        <f>SUM(E220)</f>
        <v>0</v>
      </c>
      <c r="F219" s="306">
        <f>SUM(F220)</f>
        <v>0</v>
      </c>
      <c r="G219" s="306">
        <f>SUM(G220)</f>
        <v>0</v>
      </c>
      <c r="H219" s="306"/>
    </row>
    <row r="220" spans="1:18" ht="15" hidden="1" x14ac:dyDescent="0.25">
      <c r="A220" s="190"/>
      <c r="B220" s="244"/>
      <c r="C220" s="245" t="s">
        <v>454</v>
      </c>
      <c r="D220" s="191" t="s">
        <v>276</v>
      </c>
      <c r="E220" s="192">
        <v>0</v>
      </c>
      <c r="F220" s="192">
        <v>0</v>
      </c>
      <c r="G220" s="192">
        <v>0</v>
      </c>
      <c r="H220" s="192"/>
    </row>
    <row r="221" spans="1:18" ht="14.25" hidden="1" x14ac:dyDescent="0.2">
      <c r="A221" s="265"/>
      <c r="B221" s="266" t="s">
        <v>449</v>
      </c>
      <c r="C221" s="272"/>
      <c r="D221" s="273" t="s">
        <v>490</v>
      </c>
      <c r="E221" s="274"/>
      <c r="F221" s="274"/>
      <c r="G221" s="274"/>
      <c r="H221" s="274" t="e">
        <f t="shared" si="8"/>
        <v>#DIV/0!</v>
      </c>
    </row>
    <row r="222" spans="1:18" ht="20.25" x14ac:dyDescent="0.3">
      <c r="A222" s="1546" t="s">
        <v>1561</v>
      </c>
      <c r="B222" s="1546"/>
      <c r="C222" s="1546"/>
      <c r="D222" s="1546"/>
      <c r="E222" s="1546"/>
      <c r="F222" s="1546"/>
      <c r="G222" s="1546"/>
      <c r="H222" s="1546"/>
      <c r="K222" s="168"/>
    </row>
    <row r="223" spans="1:18" ht="15.75" x14ac:dyDescent="0.25">
      <c r="A223" s="228"/>
      <c r="B223" s="229" t="s">
        <v>50</v>
      </c>
      <c r="C223" s="230"/>
      <c r="D223" s="231" t="s">
        <v>272</v>
      </c>
      <c r="E223" s="176">
        <f t="shared" ref="E223:G224" si="9">SUM(E173+E191+E196+E216)</f>
        <v>16170</v>
      </c>
      <c r="F223" s="176">
        <f t="shared" si="9"/>
        <v>49543</v>
      </c>
      <c r="G223" s="176">
        <f t="shared" si="9"/>
        <v>20697</v>
      </c>
      <c r="H223" s="176">
        <f t="shared" si="8"/>
        <v>41.775831096219449</v>
      </c>
      <c r="J223" s="216"/>
      <c r="K223" s="216">
        <f>SUM(E223+E4)</f>
        <v>16170</v>
      </c>
      <c r="L223" s="216">
        <f>SUM(F223+F4)</f>
        <v>49543</v>
      </c>
      <c r="M223" s="216">
        <f>SUM(G223+G4)</f>
        <v>20697</v>
      </c>
      <c r="N223" s="310"/>
      <c r="O223" s="311"/>
      <c r="P223" s="311"/>
      <c r="Q223" s="311"/>
      <c r="R223" s="311"/>
    </row>
    <row r="224" spans="1:18" ht="15.75" x14ac:dyDescent="0.25">
      <c r="A224" s="190"/>
      <c r="B224" s="173" t="s">
        <v>52</v>
      </c>
      <c r="C224" s="174"/>
      <c r="D224" s="236" t="s">
        <v>273</v>
      </c>
      <c r="E224" s="237">
        <f t="shared" si="9"/>
        <v>4003</v>
      </c>
      <c r="F224" s="237">
        <f t="shared" si="9"/>
        <v>11364</v>
      </c>
      <c r="G224" s="237">
        <f t="shared" si="9"/>
        <v>5660</v>
      </c>
      <c r="H224" s="237">
        <f t="shared" si="8"/>
        <v>49.806406195001763</v>
      </c>
      <c r="J224" s="216"/>
      <c r="K224" s="216">
        <f>SUM(E224+E7)</f>
        <v>10003</v>
      </c>
      <c r="L224" s="216">
        <f>SUM(F224+F7)</f>
        <v>17364</v>
      </c>
      <c r="M224" s="216">
        <f>SUM(G224+G7)</f>
        <v>8660</v>
      </c>
      <c r="N224" s="310"/>
      <c r="O224" s="310"/>
      <c r="P224" s="310"/>
      <c r="Q224" s="310"/>
      <c r="R224" s="310"/>
    </row>
    <row r="225" spans="1:18" ht="15.75" x14ac:dyDescent="0.25">
      <c r="A225" s="190"/>
      <c r="B225" s="173" t="s">
        <v>54</v>
      </c>
      <c r="C225" s="174"/>
      <c r="D225" s="236" t="s">
        <v>55</v>
      </c>
      <c r="E225" s="237">
        <f>SUM(E175+E184+E193+E198+E201+E203+E205+E214+E220+E218)</f>
        <v>453270</v>
      </c>
      <c r="F225" s="237">
        <f>SUM(F175+F184+F193+F198+F201+F203+F205+F214+F220+F218)</f>
        <v>667344</v>
      </c>
      <c r="G225" s="237">
        <f>SUM(G175+G184+G193+G198+G201+G203+G205+G214+G220+G218)</f>
        <v>404886</v>
      </c>
      <c r="H225" s="237">
        <f t="shared" si="8"/>
        <v>60.6712580018701</v>
      </c>
      <c r="J225" s="216"/>
      <c r="K225" s="216">
        <f>SUM(E225+E13)</f>
        <v>585111</v>
      </c>
      <c r="L225" s="216">
        <f>SUM(F225+F13)</f>
        <v>787071</v>
      </c>
      <c r="M225" s="216">
        <f>SUM(G225+G13)</f>
        <v>559716</v>
      </c>
      <c r="N225" s="310"/>
      <c r="O225" s="310"/>
      <c r="P225" s="312"/>
      <c r="Q225" s="312"/>
      <c r="R225" s="313"/>
    </row>
    <row r="226" spans="1:18" ht="19.5" customHeight="1" x14ac:dyDescent="0.25">
      <c r="A226" s="1531" t="s">
        <v>435</v>
      </c>
      <c r="B226" s="1531"/>
      <c r="C226" s="1531"/>
      <c r="D226" s="1531"/>
      <c r="E226" s="214">
        <f>SUM(E223:E225)</f>
        <v>473443</v>
      </c>
      <c r="F226" s="214">
        <f>SUM(F223:F225)</f>
        <v>728251</v>
      </c>
      <c r="G226" s="214">
        <f>SUM(G223:G225)</f>
        <v>431243</v>
      </c>
      <c r="H226" s="214">
        <f t="shared" si="8"/>
        <v>59.216259229304178</v>
      </c>
      <c r="I226" s="227"/>
      <c r="J226" s="227"/>
      <c r="K226" s="227"/>
      <c r="N226" s="310"/>
      <c r="O226" s="310"/>
      <c r="P226" s="312"/>
      <c r="Q226" s="312"/>
      <c r="R226" s="313"/>
    </row>
    <row r="227" spans="1:18" s="183" customFormat="1" ht="16.5" hidden="1" x14ac:dyDescent="0.25">
      <c r="A227" s="215"/>
      <c r="B227" s="179"/>
      <c r="C227" s="180" t="s">
        <v>4</v>
      </c>
      <c r="D227" s="181" t="s">
        <v>436</v>
      </c>
      <c r="E227" s="182" t="e">
        <f>SUM(#REF!)</f>
        <v>#REF!</v>
      </c>
      <c r="F227" s="182" t="e">
        <f>SUM(#REF!)</f>
        <v>#REF!</v>
      </c>
      <c r="G227" s="182" t="e">
        <f>SUM(#REF!)</f>
        <v>#REF!</v>
      </c>
      <c r="H227" s="182" t="e">
        <f t="shared" si="8"/>
        <v>#REF!</v>
      </c>
      <c r="N227" s="310"/>
      <c r="O227" s="310"/>
      <c r="P227" s="312"/>
      <c r="Q227" s="312"/>
      <c r="R227" s="313"/>
    </row>
    <row r="228" spans="1:18" s="183" customFormat="1" ht="16.5" hidden="1" x14ac:dyDescent="0.25">
      <c r="A228" s="215"/>
      <c r="B228" s="179"/>
      <c r="C228" s="180" t="s">
        <v>6</v>
      </c>
      <c r="D228" s="181" t="s">
        <v>63</v>
      </c>
      <c r="E228" s="182" t="e">
        <f>SUM(#REF!)</f>
        <v>#REF!</v>
      </c>
      <c r="F228" s="182" t="e">
        <f>SUM(#REF!)</f>
        <v>#REF!</v>
      </c>
      <c r="G228" s="182" t="e">
        <f>SUM(#REF!)</f>
        <v>#REF!</v>
      </c>
      <c r="H228" s="182" t="e">
        <f t="shared" si="8"/>
        <v>#REF!</v>
      </c>
    </row>
    <row r="229" spans="1:18" ht="19.5" hidden="1" customHeight="1" x14ac:dyDescent="0.25">
      <c r="A229" s="1531" t="s">
        <v>461</v>
      </c>
      <c r="B229" s="1531"/>
      <c r="C229" s="1531"/>
      <c r="D229" s="1531"/>
      <c r="E229" s="177" t="e">
        <f>E227+E228</f>
        <v>#REF!</v>
      </c>
      <c r="F229" s="177" t="e">
        <f>F227+F228</f>
        <v>#REF!</v>
      </c>
      <c r="G229" s="177" t="e">
        <f>G227+G228</f>
        <v>#REF!</v>
      </c>
      <c r="H229" s="177" t="e">
        <f t="shared" si="8"/>
        <v>#REF!</v>
      </c>
      <c r="I229" s="227"/>
      <c r="J229" s="227"/>
      <c r="K229" s="227"/>
    </row>
    <row r="230" spans="1:18" s="183" customFormat="1" ht="16.5" x14ac:dyDescent="0.25">
      <c r="A230" s="215"/>
      <c r="B230" s="179"/>
      <c r="C230" s="180"/>
      <c r="D230" s="181"/>
      <c r="E230" s="182"/>
      <c r="F230" s="182"/>
      <c r="G230" s="182"/>
      <c r="H230" s="182"/>
    </row>
    <row r="231" spans="1:18" ht="21.75" customHeight="1" x14ac:dyDescent="0.3">
      <c r="A231" s="217"/>
      <c r="B231" s="218"/>
      <c r="C231" s="219"/>
      <c r="D231" s="220" t="s">
        <v>491</v>
      </c>
      <c r="E231" s="314">
        <f>E226+E169+E136+E230</f>
        <v>1274967</v>
      </c>
      <c r="F231" s="314" t="e">
        <f>F226+F169+F136+F230</f>
        <v>#REF!</v>
      </c>
      <c r="G231" s="314">
        <f>G226+G169+G136+G230+G162</f>
        <v>2516099</v>
      </c>
      <c r="H231" s="314" t="e">
        <f t="shared" si="8"/>
        <v>#REF!</v>
      </c>
      <c r="L231" s="315"/>
    </row>
    <row r="232" spans="1:18" ht="18.75" x14ac:dyDescent="0.3">
      <c r="A232" s="316" t="s">
        <v>492</v>
      </c>
      <c r="B232" s="304"/>
      <c r="C232" s="304"/>
      <c r="D232" s="317"/>
      <c r="E232" s="192">
        <v>0</v>
      </c>
      <c r="F232" s="192" t="e">
        <f>F33</f>
        <v>#REF!</v>
      </c>
      <c r="G232" s="192">
        <f>G33</f>
        <v>1356523</v>
      </c>
      <c r="H232" s="192"/>
    </row>
    <row r="233" spans="1:18" ht="21" customHeight="1" x14ac:dyDescent="0.3">
      <c r="A233" s="318" t="s">
        <v>493</v>
      </c>
      <c r="B233" s="319"/>
      <c r="C233" s="320"/>
      <c r="D233" s="321"/>
      <c r="E233" s="322">
        <f>SUM(E231-E232)</f>
        <v>1274967</v>
      </c>
      <c r="F233" s="322" t="e">
        <f>SUM(F231-F232)</f>
        <v>#REF!</v>
      </c>
      <c r="G233" s="322">
        <f>SUM(G231-G232)</f>
        <v>1159576</v>
      </c>
      <c r="H233" s="322" t="e">
        <f t="shared" si="8"/>
        <v>#REF!</v>
      </c>
    </row>
  </sheetData>
  <sheetProtection selectLockedCells="1" selectUnlockedCells="1"/>
  <mergeCells count="18">
    <mergeCell ref="A126:D126"/>
    <mergeCell ref="A135:D135"/>
    <mergeCell ref="A155:D155"/>
    <mergeCell ref="A159:D159"/>
    <mergeCell ref="A1:C1"/>
    <mergeCell ref="A2:E2"/>
    <mergeCell ref="A121:D121"/>
    <mergeCell ref="A125:D125"/>
    <mergeCell ref="F222:H222"/>
    <mergeCell ref="A226:D226"/>
    <mergeCell ref="A160:D160"/>
    <mergeCell ref="A168:D168"/>
    <mergeCell ref="A229:D229"/>
    <mergeCell ref="A169:D169"/>
    <mergeCell ref="A170:E170"/>
    <mergeCell ref="A171:D171"/>
    <mergeCell ref="A222:E222"/>
    <mergeCell ref="A161:D161"/>
  </mergeCells>
  <printOptions horizontalCentered="1"/>
  <pageMargins left="0.19685039370078741" right="0.19685039370078741" top="0.74803149606299213" bottom="0.51181102362204722" header="0.15748031496062992" footer="0.23622047244094491"/>
  <pageSetup paperSize="9" scale="91" firstPageNumber="57" orientation="portrait" r:id="rId1"/>
  <headerFooter alignWithMargins="0">
    <oddHeader>&amp;C&amp;"Times New Roman,Félkövér"&amp;14
Vecsés Város Önkormányzatának  2014. évi kiadásai feladatonként&amp;R&amp;"Times New Roman,Normál"&amp;12 3.2. sz. melléklet
Ezer Ft</oddHeader>
    <oddFooter>&amp;C- &amp;P -</oddFooter>
  </headerFooter>
  <rowBreaks count="2" manualBreakCount="2">
    <brk id="54" max="7" man="1"/>
    <brk id="16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4"/>
  <sheetViews>
    <sheetView view="pageBreakPreview" topLeftCell="A37" zoomScaleSheetLayoutView="100" workbookViewId="0">
      <selection activeCell="C40" sqref="C40:C41"/>
    </sheetView>
  </sheetViews>
  <sheetFormatPr defaultRowHeight="15" x14ac:dyDescent="0.2"/>
  <cols>
    <col min="1" max="1" width="9.6640625" style="75" customWidth="1"/>
    <col min="2" max="2" width="12.83203125" style="76" customWidth="1"/>
    <col min="3" max="3" width="60.6640625" style="76" customWidth="1"/>
    <col min="4" max="4" width="14.1640625" style="99" hidden="1" customWidth="1"/>
    <col min="5" max="5" width="18" style="99" hidden="1" customWidth="1"/>
    <col min="6" max="6" width="18" style="99" customWidth="1"/>
    <col min="7" max="7" width="12.83203125" style="99" hidden="1" customWidth="1"/>
    <col min="8" max="8" width="9.83203125" style="76" bestFit="1" customWidth="1"/>
    <col min="9" max="9" width="11.5" style="76" bestFit="1" customWidth="1"/>
    <col min="10" max="10" width="11.5" style="76" customWidth="1"/>
    <col min="11" max="11" width="9.83203125" style="76" customWidth="1"/>
    <col min="12" max="16384" width="9.33203125" style="76"/>
  </cols>
  <sheetData>
    <row r="1" spans="1:11" s="326" customFormat="1" ht="21" customHeight="1" thickBot="1" x14ac:dyDescent="0.25">
      <c r="A1" s="323"/>
      <c r="B1" s="324"/>
      <c r="C1" s="325"/>
      <c r="D1" s="1552" t="s">
        <v>494</v>
      </c>
      <c r="E1" s="1552"/>
      <c r="F1" s="1552"/>
      <c r="G1" s="1552"/>
    </row>
    <row r="2" spans="1:11" s="79" customFormat="1" ht="28.5" customHeight="1" thickBot="1" x14ac:dyDescent="0.25">
      <c r="A2" s="1522" t="s">
        <v>495</v>
      </c>
      <c r="B2" s="1522"/>
      <c r="C2" s="78" t="s">
        <v>496</v>
      </c>
      <c r="D2" s="1523" t="s">
        <v>1024</v>
      </c>
      <c r="E2" s="343"/>
      <c r="F2" s="1523" t="s">
        <v>1420</v>
      </c>
      <c r="G2" s="78"/>
    </row>
    <row r="3" spans="1:11" s="79" customFormat="1" ht="32.25" customHeight="1" thickBot="1" x14ac:dyDescent="0.25">
      <c r="A3" s="1528" t="s">
        <v>122</v>
      </c>
      <c r="B3" s="1528"/>
      <c r="C3" s="80" t="s">
        <v>123</v>
      </c>
      <c r="D3" s="1524"/>
      <c r="E3" s="327"/>
      <c r="F3" s="1524"/>
      <c r="G3" s="327"/>
    </row>
    <row r="4" spans="1:11" s="83" customFormat="1" ht="15.95" customHeight="1" thickBot="1" x14ac:dyDescent="0.3">
      <c r="A4" s="81"/>
      <c r="B4" s="81"/>
      <c r="C4" s="81"/>
      <c r="D4" s="1527"/>
      <c r="E4" s="1527"/>
      <c r="F4" s="1527"/>
      <c r="G4" s="82" t="s">
        <v>79</v>
      </c>
    </row>
    <row r="5" spans="1:11" s="99" customFormat="1" ht="36.7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11" s="89" customFormat="1" ht="12.9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11" s="89" customFormat="1" ht="20.25" customHeight="1" thickBot="1" x14ac:dyDescent="0.25">
      <c r="A7" s="328"/>
      <c r="B7" s="329"/>
      <c r="C7" s="329" t="s">
        <v>81</v>
      </c>
      <c r="D7" s="330"/>
      <c r="E7" s="330"/>
      <c r="F7" s="330"/>
      <c r="G7" s="330"/>
      <c r="K7" s="331"/>
    </row>
    <row r="8" spans="1:11" s="96" customFormat="1" ht="15" customHeight="1" thickBot="1" x14ac:dyDescent="0.25">
      <c r="A8" s="93" t="s">
        <v>2</v>
      </c>
      <c r="B8" s="94"/>
      <c r="C8" s="95" t="s">
        <v>1774</v>
      </c>
      <c r="D8" s="141">
        <f>SUM(D9:D18)</f>
        <v>0</v>
      </c>
      <c r="E8" s="141">
        <f t="shared" ref="E8:G8" si="0">SUM(E9:E18)</f>
        <v>0</v>
      </c>
      <c r="F8" s="141">
        <f t="shared" si="0"/>
        <v>0</v>
      </c>
      <c r="G8" s="141">
        <f t="shared" si="0"/>
        <v>0</v>
      </c>
      <c r="K8" s="404">
        <f>SUM('4.a. sz. mell.'!F8+'4. b.sz. mell.'!F8+'4.c. sz. mell.'!F8)</f>
        <v>0</v>
      </c>
    </row>
    <row r="9" spans="1:11" s="96" customFormat="1" ht="15" customHeight="1" x14ac:dyDescent="0.2">
      <c r="A9" s="102"/>
      <c r="B9" s="98" t="s">
        <v>50</v>
      </c>
      <c r="C9" s="1143" t="s">
        <v>1472</v>
      </c>
      <c r="D9" s="142">
        <f>SUM('4.1 sz. mell'!D9+'---'!D9+'4.2 sz. mell'!D9+'........'!D9+'4.3.sz. mell. '!D9+'4.4 sz. mell.'!D9+'4.5.sz. mell.'!D9)</f>
        <v>0</v>
      </c>
      <c r="E9" s="142">
        <f>SUM('4.1 sz. mell'!E9+'---'!E9+'4.2 sz. mell'!E9+'........'!E9+'4.3.sz. mell. '!E9+'4.4 sz. mell.'!E9+'4.5.sz. mell.'!E9)</f>
        <v>0</v>
      </c>
      <c r="F9" s="142">
        <f>SUM('4.1 sz. mell'!F9+'---'!F9+'4.2 sz. mell'!F9+'........'!F9+'4.3.sz. mell. '!F9+'4.4 sz. mell.'!F9+'4.5.sz. mell.'!F9)</f>
        <v>0</v>
      </c>
      <c r="G9" s="142">
        <f>SUM('4.1 sz. mell'!G9+'---'!G9+'4.2 sz. mell'!G9+'........'!G9+'4.3.sz. mell. '!G9+'4.4 sz. mell.'!G9+'4.5.sz. mell.'!G9)</f>
        <v>0</v>
      </c>
      <c r="K9" s="404">
        <f>SUM('4.a. sz. mell.'!F9+'4. b.sz. mell.'!F9+'4.c. sz. mell.'!F9)</f>
        <v>0</v>
      </c>
    </row>
    <row r="10" spans="1:11" s="96" customFormat="1" ht="15" customHeight="1" x14ac:dyDescent="0.2">
      <c r="A10" s="97"/>
      <c r="B10" s="98" t="s">
        <v>52</v>
      </c>
      <c r="C10" s="1144" t="s">
        <v>1473</v>
      </c>
      <c r="D10" s="142">
        <f>SUM('4.1 sz. mell'!D10+'---'!D10+'4.2 sz. mell'!D10+'........'!D10+'4.3.sz. mell. '!D10+'4.4 sz. mell.'!D10+'4.5.sz. mell.'!D10)</f>
        <v>0</v>
      </c>
      <c r="E10" s="142">
        <f>SUM('4.1 sz. mell'!E10+'---'!E10+'4.2 sz. mell'!E10+'........'!E10+'4.3.sz. mell. '!E10+'4.4 sz. mell.'!E10+'4.5.sz. mell.'!E10)</f>
        <v>0</v>
      </c>
      <c r="F10" s="142">
        <f>SUM('4.1 sz. mell'!F10+'---'!F10+'4.2 sz. mell'!F10+'........'!F10+'4.3.sz. mell. '!F10+'4.4 sz. mell.'!F10+'4.5.sz. mell.'!F10)</f>
        <v>0</v>
      </c>
      <c r="G10" s="142">
        <f>SUM('4.1 sz. mell'!G10+'---'!G10+'4.2 sz. mell'!G10+'........'!G10+'4.3.sz. mell. '!G10+'4.4 sz. mell.'!G10+'4.5.sz. mell.'!G10)</f>
        <v>0</v>
      </c>
      <c r="K10" s="404">
        <f>SUM('4.a. sz. mell.'!F10+'4. b.sz. mell.'!F10+'4.c. sz. mell.'!F10)</f>
        <v>0</v>
      </c>
    </row>
    <row r="11" spans="1:11" s="96" customFormat="1" ht="15" customHeight="1" x14ac:dyDescent="0.2">
      <c r="A11" s="97"/>
      <c r="B11" s="98" t="s">
        <v>54</v>
      </c>
      <c r="C11" s="1144" t="s">
        <v>1474</v>
      </c>
      <c r="D11" s="142">
        <f>SUM('4.1 sz. mell'!D11+'---'!D11+'4.2 sz. mell'!D11+'........'!D11+'4.3.sz. mell. '!D11+'4.4 sz. mell.'!D11+'4.5.sz. mell.'!D11)</f>
        <v>0</v>
      </c>
      <c r="E11" s="142">
        <f>SUM('4.1 sz. mell'!E11+'---'!E11+'4.2 sz. mell'!E11+'........'!E11+'4.3.sz. mell. '!E11+'4.4 sz. mell.'!E11+'4.5.sz. mell.'!E11)</f>
        <v>0</v>
      </c>
      <c r="F11" s="142">
        <f>SUM('4.1 sz. mell'!F11+'---'!F11+'4.2 sz. mell'!F11+'........'!F11+'4.3.sz. mell. '!F11+'4.4 sz. mell.'!F11+'4.5.sz. mell.'!F11)</f>
        <v>0</v>
      </c>
      <c r="G11" s="142">
        <f>SUM('4.1 sz. mell'!G11+'---'!G11+'4.2 sz. mell'!G11+'........'!G11+'4.3.sz. mell. '!G11+'4.4 sz. mell.'!G11+'4.5.sz. mell.'!G11)</f>
        <v>0</v>
      </c>
      <c r="K11" s="404">
        <f>SUM('4.a. sz. mell.'!F11+'4. b.sz. mell.'!F11+'4.c. sz. mell.'!F11)</f>
        <v>0</v>
      </c>
    </row>
    <row r="12" spans="1:11" s="96" customFormat="1" ht="15" customHeight="1" x14ac:dyDescent="0.2">
      <c r="A12" s="97"/>
      <c r="B12" s="98" t="s">
        <v>56</v>
      </c>
      <c r="C12" s="1144" t="s">
        <v>1475</v>
      </c>
      <c r="D12" s="142">
        <f>SUM('4.1 sz. mell'!D12+'---'!D12+'4.2 sz. mell'!D12+'........'!D12+'4.3.sz. mell. '!D12+'4.4 sz. mell.'!D12+'4.5.sz. mell.'!D12)</f>
        <v>0</v>
      </c>
      <c r="E12" s="142">
        <f>SUM('4.1 sz. mell'!E12+'---'!E12+'4.2 sz. mell'!E12+'........'!E12+'4.3.sz. mell. '!E12+'4.4 sz. mell.'!E12+'4.5.sz. mell.'!E12)</f>
        <v>0</v>
      </c>
      <c r="F12" s="142">
        <f>SUM('4.1 sz. mell'!F12+'---'!F12+'4.2 sz. mell'!F12+'........'!F12+'4.3.sz. mell. '!F12+'4.4 sz. mell.'!F12+'4.5.sz. mell.'!F12)</f>
        <v>0</v>
      </c>
      <c r="G12" s="142">
        <f>SUM('4.1 sz. mell'!G12+'---'!G12+'4.2 sz. mell'!G12+'........'!G12+'4.3.sz. mell. '!G12+'4.4 sz. mell.'!G12+'4.5.sz. mell.'!G12)</f>
        <v>0</v>
      </c>
      <c r="K12" s="404">
        <f>SUM('4.a. sz. mell.'!F12+'4. b.sz. mell.'!F12+'4.c. sz. mell.'!F12)</f>
        <v>0</v>
      </c>
    </row>
    <row r="13" spans="1:11" s="96" customFormat="1" ht="15" customHeight="1" x14ac:dyDescent="0.2">
      <c r="A13" s="97"/>
      <c r="B13" s="98" t="s">
        <v>227</v>
      </c>
      <c r="C13" s="5" t="s">
        <v>1476</v>
      </c>
      <c r="D13" s="142">
        <f>SUM('4.1 sz. mell'!D13+'---'!D13+'4.2 sz. mell'!D13+'........'!D13+'4.3.sz. mell. '!D13+'4.4 sz. mell.'!D13+'4.5.sz. mell.'!D13)</f>
        <v>0</v>
      </c>
      <c r="E13" s="142">
        <f>SUM('4.1 sz. mell'!E13+'---'!E13+'4.2 sz. mell'!E13+'........'!E13+'4.3.sz. mell. '!E13+'4.4 sz. mell.'!E13+'4.5.sz. mell.'!E13)</f>
        <v>0</v>
      </c>
      <c r="F13" s="142">
        <f>SUM('4.1 sz. mell'!F13+'---'!F13+'4.2 sz. mell'!F13+'........'!F13+'4.3.sz. mell. '!F13+'4.4 sz. mell.'!F13+'4.5.sz. mell.'!F13)</f>
        <v>0</v>
      </c>
      <c r="G13" s="142">
        <f>SUM('4.1 sz. mell'!G13+'---'!G13+'4.2 sz. mell'!G13+'........'!G13+'4.3.sz. mell. '!G13+'4.4 sz. mell.'!G13+'4.5.sz. mell.'!G13)</f>
        <v>0</v>
      </c>
      <c r="K13" s="404">
        <f>SUM('4.a. sz. mell.'!F13+'4. b.sz. mell.'!F13+'4.c. sz. mell.'!F13)</f>
        <v>0</v>
      </c>
    </row>
    <row r="14" spans="1:11" s="96" customFormat="1" ht="15" customHeight="1" x14ac:dyDescent="0.2">
      <c r="A14" s="100"/>
      <c r="B14" s="98" t="s">
        <v>228</v>
      </c>
      <c r="C14" s="1144" t="s">
        <v>1477</v>
      </c>
      <c r="D14" s="142">
        <f>SUM('4.1 sz. mell'!D14+'---'!D14+'4.2 sz. mell'!D14+'........'!D14+'4.3.sz. mell. '!D14+'4.4 sz. mell.'!D14+'4.5.sz. mell.'!D14)</f>
        <v>0</v>
      </c>
      <c r="E14" s="142">
        <f>SUM('4.1 sz. mell'!E14+'---'!E14+'4.2 sz. mell'!E14+'........'!E14+'4.3.sz. mell. '!E14+'4.4 sz. mell.'!E14+'4.5.sz. mell.'!E14)</f>
        <v>0</v>
      </c>
      <c r="F14" s="142">
        <f>SUM('4.1 sz. mell'!F14+'---'!F14+'4.2 sz. mell'!F14+'........'!F14+'4.3.sz. mell. '!F14+'4.4 sz. mell.'!F14+'4.5.sz. mell.'!F14)</f>
        <v>0</v>
      </c>
      <c r="G14" s="142">
        <f>SUM('4.1 sz. mell'!G14+'---'!G14+'4.2 sz. mell'!G14+'........'!G14+'4.3.sz. mell. '!G14+'4.4 sz. mell.'!G14+'4.5.sz. mell.'!G14)</f>
        <v>0</v>
      </c>
      <c r="K14" s="404">
        <f>SUM('4.a. sz. mell.'!F14+'4. b.sz. mell.'!F14+'4.c. sz. mell.'!F14)</f>
        <v>0</v>
      </c>
    </row>
    <row r="15" spans="1:11" s="99" customFormat="1" ht="15" customHeight="1" x14ac:dyDescent="0.2">
      <c r="A15" s="97"/>
      <c r="B15" s="98" t="s">
        <v>230</v>
      </c>
      <c r="C15" s="1144" t="s">
        <v>1478</v>
      </c>
      <c r="D15" s="142">
        <f>SUM('4.1 sz. mell'!D15+'---'!D15+'4.2 sz. mell'!D15+'........'!D15+'4.3.sz. mell. '!D15+'4.4 sz. mell.'!D15+'4.5.sz. mell.'!D15)</f>
        <v>0</v>
      </c>
      <c r="E15" s="142">
        <f>SUM('4.1 sz. mell'!E15+'---'!E15+'4.2 sz. mell'!E15+'........'!E15+'4.3.sz. mell. '!E15+'4.4 sz. mell.'!E15+'4.5.sz. mell.'!E15)</f>
        <v>0</v>
      </c>
      <c r="F15" s="142">
        <f>SUM('4.1 sz. mell'!F15+'---'!F15+'4.2 sz. mell'!F15+'........'!F15+'4.3.sz. mell. '!F15+'4.4 sz. mell.'!F15+'4.5.sz. mell.'!F15)</f>
        <v>0</v>
      </c>
      <c r="G15" s="142">
        <f>SUM('4.1 sz. mell'!G15+'---'!G15+'4.2 sz. mell'!G15+'........'!G15+'4.3.sz. mell. '!G15+'4.4 sz. mell.'!G15+'4.5.sz. mell.'!G15)</f>
        <v>0</v>
      </c>
      <c r="K15" s="404">
        <f>SUM('4.a. sz. mell.'!F15+'4. b.sz. mell.'!F15+'4.c. sz. mell.'!F15)</f>
        <v>0</v>
      </c>
    </row>
    <row r="16" spans="1:11" s="99" customFormat="1" ht="15" customHeight="1" x14ac:dyDescent="0.2">
      <c r="A16" s="1214"/>
      <c r="B16" s="105" t="s">
        <v>232</v>
      </c>
      <c r="C16" s="1144" t="s">
        <v>1479</v>
      </c>
      <c r="D16" s="1296"/>
      <c r="E16" s="1296"/>
      <c r="F16" s="1296"/>
      <c r="G16" s="1296"/>
      <c r="K16" s="404">
        <f>SUM('4.a. sz. mell.'!F16+'4. b.sz. mell.'!F16+'4.c. sz. mell.'!F16)</f>
        <v>0</v>
      </c>
    </row>
    <row r="17" spans="1:11" s="99" customFormat="1" ht="15" customHeight="1" x14ac:dyDescent="0.2">
      <c r="A17" s="1214"/>
      <c r="B17" s="1146" t="s">
        <v>234</v>
      </c>
      <c r="C17" s="1149" t="s">
        <v>1480</v>
      </c>
      <c r="D17" s="1296"/>
      <c r="E17" s="1296"/>
      <c r="F17" s="1296"/>
      <c r="G17" s="1296"/>
      <c r="K17" s="404">
        <f>SUM('4.a. sz. mell.'!F17+'4. b.sz. mell.'!F17+'4.c. sz. mell.'!F17)</f>
        <v>0</v>
      </c>
    </row>
    <row r="18" spans="1:11" s="99" customFormat="1" ht="15" customHeight="1" thickBot="1" x14ac:dyDescent="0.25">
      <c r="A18" s="104"/>
      <c r="B18" s="105" t="s">
        <v>420</v>
      </c>
      <c r="C18" s="5" t="s">
        <v>1481</v>
      </c>
      <c r="D18" s="142">
        <f>SUM('4.1 sz. mell'!D18+'---'!D16+'4.2 sz. mell'!D18+'........'!D16+'4.3.sz. mell. '!D18+'4.4 sz. mell.'!D18+'4.5.sz. mell.'!D18)</f>
        <v>0</v>
      </c>
      <c r="E18" s="142">
        <f>SUM('4.1 sz. mell'!E18+'---'!E16+'4.2 sz. mell'!E18+'........'!E16+'4.3.sz. mell. '!E18+'4.4 sz. mell.'!E18+'4.5.sz. mell.'!E18)</f>
        <v>0</v>
      </c>
      <c r="F18" s="142">
        <f>SUM('4.1 sz. mell'!F18+'---'!F16+'4.2 sz. mell'!F18+'........'!F16+'4.3.sz. mell. '!F18+'4.4 sz. mell.'!F18+'4.5.sz. mell.'!F18)</f>
        <v>0</v>
      </c>
      <c r="G18" s="142">
        <f>SUM('4.1 sz. mell'!G18+'---'!G16+'4.2 sz. mell'!G18+'........'!G16+'4.3.sz. mell. '!G18+'4.4 sz. mell.'!G18+'4.5.sz. mell.'!G18)</f>
        <v>0</v>
      </c>
      <c r="K18" s="404">
        <f>SUM('4.a. sz. mell.'!F18+'4. b.sz. mell.'!F18+'4.c. sz. mell.'!F18)</f>
        <v>0</v>
      </c>
    </row>
    <row r="19" spans="1:11" s="96" customFormat="1" ht="30" customHeight="1" thickBot="1" x14ac:dyDescent="0.25">
      <c r="A19" s="93" t="s">
        <v>3</v>
      </c>
      <c r="B19" s="94"/>
      <c r="C19" s="1142" t="s">
        <v>1482</v>
      </c>
      <c r="D19" s="141">
        <f>SUM(D20:D25)</f>
        <v>54666</v>
      </c>
      <c r="E19" s="141">
        <f t="shared" ref="E19:G19" si="1">SUM(E20:E25)</f>
        <v>110160</v>
      </c>
      <c r="F19" s="141">
        <f>SUM(F20+F24+F25)</f>
        <v>0</v>
      </c>
      <c r="G19" s="141">
        <f t="shared" si="1"/>
        <v>0</v>
      </c>
      <c r="I19" s="404">
        <f>SUM(F19-K19)</f>
        <v>0</v>
      </c>
      <c r="K19" s="404">
        <f>SUM('4.a. sz. mell.'!F19+'4. b.sz. mell.'!F19+'4.c. sz. mell.'!F19)</f>
        <v>0</v>
      </c>
    </row>
    <row r="20" spans="1:11" s="99" customFormat="1" ht="31.5" customHeight="1" x14ac:dyDescent="0.2">
      <c r="A20" s="97"/>
      <c r="B20" s="98" t="s">
        <v>4</v>
      </c>
      <c r="C20" s="1151" t="s">
        <v>1483</v>
      </c>
      <c r="D20" s="142">
        <f>SUM('4.1 sz. mell'!D20+'---'!D18+'4.2 sz. mell'!D20+'........'!D18+'4.3.sz. mell. '!D20+'4.4 sz. mell.'!D20+'4.5.sz. mell.'!D20+'4.6.sz. mell.'!D20)</f>
        <v>54666</v>
      </c>
      <c r="E20" s="142">
        <f>SUM('4.1 sz. mell'!E20+'---'!E18+'4.2 sz. mell'!E20+'........'!E18+'4.3.sz. mell. '!E20+'4.4 sz. mell.'!E20+'4.5.sz. mell.'!E20+'4.6.sz. mell.'!E20)</f>
        <v>110160</v>
      </c>
      <c r="F20" s="142">
        <f>SUM(F21:F22)</f>
        <v>0</v>
      </c>
      <c r="G20" s="142">
        <f>SUM('4.1 sz. mell'!G20+'---'!G18+'4.2 sz. mell'!G20+'........'!G18+'4.3.sz. mell. '!G20+'4.4 sz. mell.'!G20+'4.5.sz. mell.'!G20+'4.6.sz. mell.'!G20)</f>
        <v>0</v>
      </c>
      <c r="H20" s="96"/>
      <c r="I20" s="404">
        <f t="shared" ref="I20:I64" si="2">SUM(F20-K20)</f>
        <v>0</v>
      </c>
      <c r="J20" s="96"/>
      <c r="K20" s="404">
        <f>SUM('4.a. sz. mell.'!F20+'4. b.sz. mell.'!F20+'4.c. sz. mell.'!F20)</f>
        <v>0</v>
      </c>
    </row>
    <row r="21" spans="1:11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  <c r="H21" s="96"/>
      <c r="I21" s="404">
        <f t="shared" si="2"/>
        <v>0</v>
      </c>
      <c r="J21" s="96"/>
      <c r="K21" s="404">
        <f>SUM('4.a. sz. mell.'!F21+'4. b.sz. mell.'!F21+'4.c. sz. mell.'!F21)</f>
        <v>0</v>
      </c>
    </row>
    <row r="22" spans="1:11" s="99" customFormat="1" ht="30" customHeight="1" x14ac:dyDescent="0.2">
      <c r="A22" s="1294"/>
      <c r="B22" s="1148" t="s">
        <v>255</v>
      </c>
      <c r="C22" s="1152" t="s">
        <v>1484</v>
      </c>
      <c r="D22" s="1296"/>
      <c r="E22" s="1296"/>
      <c r="F22" s="1296">
        <f>SUM('4.1 sz. mell'!F22+'4.2 sz. mell'!F22+'4.3.sz. mell. '!F22+'4.4 sz. mell.'!F22+'4.5.sz. mell.'!F22+'4.6.sz. mell.'!F22)</f>
        <v>0</v>
      </c>
      <c r="G22" s="1296"/>
      <c r="H22" s="96"/>
      <c r="I22" s="404">
        <f t="shared" si="2"/>
        <v>0</v>
      </c>
      <c r="J22" s="96"/>
      <c r="K22" s="404">
        <f>SUM('4.a. sz. mell.'!F22+'4. b.sz. mell.'!F22+'4.c. sz. mell.'!F22)</f>
        <v>0</v>
      </c>
    </row>
    <row r="23" spans="1:11" s="99" customFormat="1" ht="15" customHeight="1" x14ac:dyDescent="0.2">
      <c r="A23" s="97"/>
      <c r="B23" s="1148" t="s">
        <v>212</v>
      </c>
      <c r="C23" s="3" t="s">
        <v>501</v>
      </c>
      <c r="D23" s="142">
        <f>SUM('4.1 sz. mell'!D23+'---'!D19+'4.2 sz. mell'!D23+'........'!D19+'4.3.sz. mell. '!D23+'4.4 sz. mell.'!D23+'4.5.sz. mell.'!D23)</f>
        <v>0</v>
      </c>
      <c r="E23" s="142">
        <f>SUM('4.1 sz. mell'!E23+'---'!E19+'4.2 sz. mell'!E23+'........'!E19+'4.3.sz. mell. '!E23+'4.4 sz. mell.'!E23+'4.5.sz. mell.'!E23)</f>
        <v>0</v>
      </c>
      <c r="F23" s="142">
        <f>SUM('4.1 sz. mell'!F23+'---'!F19+'4.2 sz. mell'!F23+'........'!F19+'4.3.sz. mell. '!F23+'4.4 sz. mell.'!F23+'4.5.sz. mell.'!F23)</f>
        <v>0</v>
      </c>
      <c r="G23" s="142">
        <f>SUM('4.1 sz. mell'!G23+'---'!G19+'4.2 sz. mell'!G23+'........'!G19+'4.3.sz. mell. '!G23+'4.4 sz. mell.'!G23+'4.5.sz. mell.'!G23)</f>
        <v>0</v>
      </c>
      <c r="H23" s="96"/>
      <c r="I23" s="404">
        <f t="shared" si="2"/>
        <v>0</v>
      </c>
      <c r="J23" s="96"/>
      <c r="K23" s="404">
        <f>SUM('4.a. sz. mell.'!F23+'4. b.sz. mell.'!F23+'4.c. sz. mell.'!F23)</f>
        <v>0</v>
      </c>
    </row>
    <row r="24" spans="1:11" s="99" customFormat="1" ht="15" customHeight="1" x14ac:dyDescent="0.2">
      <c r="A24" s="97"/>
      <c r="B24" s="1148" t="s">
        <v>6</v>
      </c>
      <c r="C24" s="1144" t="s">
        <v>1485</v>
      </c>
      <c r="D24" s="142">
        <f>SUM('4.1 sz. mell'!D24+'---'!D20+'4.2 sz. mell'!D24+'........'!D20+'4.3.sz. mell. '!D24+'4.4 sz. mell.'!D24+'4.5.sz. mell.'!D24)</f>
        <v>0</v>
      </c>
      <c r="E24" s="142">
        <f>SUM('4.1 sz. mell'!E24+'---'!E20+'4.2 sz. mell'!E24+'........'!E20+'4.3.sz. mell. '!E24+'4.4 sz. mell.'!E24+'4.5.sz. mell.'!E24)</f>
        <v>0</v>
      </c>
      <c r="F24" s="142">
        <f>SUM('4.1 sz. mell'!F24+'---'!F20+'4.2 sz. mell'!F24+'........'!F20+'4.3.sz. mell. '!F24+'4.4 sz. mell.'!F24+'4.5.sz. mell.'!F24)</f>
        <v>0</v>
      </c>
      <c r="G24" s="142">
        <f>SUM('4.1 sz. mell'!G24+'---'!G20+'4.2 sz. mell'!G24+'........'!G20+'4.3.sz. mell. '!G24+'4.4 sz. mell.'!G24+'4.5.sz. mell.'!G24)</f>
        <v>0</v>
      </c>
      <c r="H24" s="96"/>
      <c r="I24" s="404">
        <f t="shared" si="2"/>
        <v>0</v>
      </c>
      <c r="J24" s="96"/>
      <c r="K24" s="404">
        <f>SUM('4.a. sz. mell.'!F24+'4. b.sz. mell.'!F24+'4.c. sz. mell.'!F24)</f>
        <v>0</v>
      </c>
    </row>
    <row r="25" spans="1:11" s="99" customFormat="1" ht="15" customHeight="1" thickBot="1" x14ac:dyDescent="0.25">
      <c r="A25" s="97"/>
      <c r="B25" s="98" t="s">
        <v>7</v>
      </c>
      <c r="C25" s="1144" t="s">
        <v>1486</v>
      </c>
      <c r="D25" s="145">
        <f>SUM('4.1 sz. mell'!D25+'---'!D21+'4.2 sz. mell'!D25+'........'!D21+'4.3.sz. mell. '!D25+'4.4 sz. mell.'!D25+'4.5.sz. mell.'!D25)</f>
        <v>0</v>
      </c>
      <c r="E25" s="145">
        <f>SUM('4.1 sz. mell'!E25+'---'!E21+'4.2 sz. mell'!E25+'........'!E21+'4.3.sz. mell. '!E25+'4.4 sz. mell.'!E25+'4.5.sz. mell.'!E25)</f>
        <v>0</v>
      </c>
      <c r="F25" s="145">
        <f>SUM('4.1 sz. mell'!F25+'---'!F21+'4.2 sz. mell'!F25+'........'!F21+'4.3.sz. mell. '!F25+'4.4 sz. mell.'!F25+'4.5.sz. mell.'!F25)</f>
        <v>0</v>
      </c>
      <c r="G25" s="145">
        <f>SUM('4.1 sz. mell'!G25+'---'!G21+'4.2 sz. mell'!G25+'........'!G21+'4.3.sz. mell. '!G25+'4.4 sz. mell.'!G25+'4.5.sz. mell.'!G25)</f>
        <v>0</v>
      </c>
      <c r="H25" s="96"/>
      <c r="I25" s="404">
        <f t="shared" si="2"/>
        <v>0</v>
      </c>
      <c r="J25" s="96"/>
      <c r="K25" s="404">
        <f>SUM('4.a. sz. mell.'!F25+'4. b.sz. mell.'!F25+'4.c. sz. mell.'!F25)</f>
        <v>0</v>
      </c>
    </row>
    <row r="26" spans="1:11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  <c r="H26" s="96"/>
      <c r="I26" s="404">
        <f t="shared" si="2"/>
        <v>0</v>
      </c>
      <c r="J26" s="96"/>
      <c r="K26" s="404">
        <f>SUM('4.a. sz. mell.'!F26+'4. b.sz. mell.'!F26+'4.c. sz. mell.'!F26)</f>
        <v>0</v>
      </c>
    </row>
    <row r="27" spans="1:11" s="99" customFormat="1" ht="30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  <c r="H27" s="96"/>
      <c r="I27" s="404">
        <f t="shared" si="2"/>
        <v>0</v>
      </c>
      <c r="J27" s="96"/>
      <c r="K27" s="404">
        <f>SUM('4.a. sz. mell.'!F27+'4. b.sz. mell.'!F27+'4.c. sz. mell.'!F27)</f>
        <v>0</v>
      </c>
    </row>
    <row r="28" spans="1:11" s="99" customFormat="1" ht="15" customHeight="1" thickBot="1" x14ac:dyDescent="0.25">
      <c r="A28" s="1256" t="s">
        <v>68</v>
      </c>
      <c r="B28" s="94"/>
      <c r="C28" s="1156" t="s">
        <v>1505</v>
      </c>
      <c r="D28" s="332">
        <f>SUM('4.1 sz. mell'!D28+'---'!D22+'4.2 sz. mell'!D28+'........'!D22+'4.3.sz. mell. '!D28+'4.4 sz. mell.'!D28+'4.5.sz. mell.'!D28)</f>
        <v>0</v>
      </c>
      <c r="E28" s="332">
        <f>SUM('4.1 sz. mell'!E28+'---'!E22+'4.2 sz. mell'!E28+'........'!E22+'4.3.sz. mell. '!E28+'4.4 sz. mell.'!E28+'4.5.sz. mell.'!E28)</f>
        <v>0</v>
      </c>
      <c r="F28" s="332">
        <f>SUM('4.1 sz. mell'!F28+'---'!F22+'4.2 sz. mell'!F28+'........'!F22+'4.3.sz. mell. '!F28+'4.4 sz. mell.'!F28+'4.5.sz. mell.'!F28)</f>
        <v>0</v>
      </c>
      <c r="G28" s="332">
        <f>SUM('4.1 sz. mell'!G28+'---'!G22+'4.2 sz. mell'!G28+'........'!G22+'4.3.sz. mell. '!G28+'4.4 sz. mell.'!G28+'4.5.sz. mell.'!G28)</f>
        <v>0</v>
      </c>
      <c r="H28" s="96"/>
      <c r="I28" s="404">
        <f t="shared" si="2"/>
        <v>0</v>
      </c>
      <c r="J28" s="96"/>
      <c r="K28" s="404">
        <f>SUM('4.a. sz. mell.'!F28+'4. b.sz. mell.'!F28+'4.c. sz. mell.'!F28)</f>
        <v>0</v>
      </c>
    </row>
    <row r="29" spans="1:11" s="99" customFormat="1" ht="15" customHeight="1" thickBot="1" x14ac:dyDescent="0.25">
      <c r="A29" s="97"/>
      <c r="B29" s="1160" t="s">
        <v>133</v>
      </c>
      <c r="C29" s="1144" t="s">
        <v>1489</v>
      </c>
      <c r="D29" s="1312"/>
      <c r="E29" s="1312"/>
      <c r="F29" s="1312"/>
      <c r="G29" s="1312"/>
      <c r="H29" s="96"/>
      <c r="I29" s="404">
        <f t="shared" si="2"/>
        <v>0</v>
      </c>
      <c r="J29" s="96"/>
      <c r="K29" s="404">
        <f>SUM('4.a. sz. mell.'!F29+'4. b.sz. mell.'!F29+'4.c. sz. mell.'!F29)</f>
        <v>0</v>
      </c>
    </row>
    <row r="30" spans="1:11" s="99" customFormat="1" ht="15" customHeight="1" thickBot="1" x14ac:dyDescent="0.25">
      <c r="A30" s="97"/>
      <c r="B30" s="1160" t="s">
        <v>983</v>
      </c>
      <c r="C30" s="1144" t="s">
        <v>1490</v>
      </c>
      <c r="D30" s="1312"/>
      <c r="E30" s="1312"/>
      <c r="F30" s="1312"/>
      <c r="G30" s="1312"/>
      <c r="H30" s="96"/>
      <c r="I30" s="404">
        <f t="shared" si="2"/>
        <v>0</v>
      </c>
      <c r="J30" s="96"/>
      <c r="K30" s="404">
        <f>SUM('4.a. sz. mell.'!F30+'4. b.sz. mell.'!F30+'4.c. sz. mell.'!F30)</f>
        <v>0</v>
      </c>
    </row>
    <row r="31" spans="1:11" s="99" customFormat="1" ht="15" customHeight="1" thickBot="1" x14ac:dyDescent="0.25">
      <c r="A31" s="97"/>
      <c r="B31" s="1160" t="s">
        <v>149</v>
      </c>
      <c r="C31" s="1144" t="s">
        <v>1491</v>
      </c>
      <c r="D31" s="1312"/>
      <c r="E31" s="1312"/>
      <c r="F31" s="1312"/>
      <c r="G31" s="1312"/>
      <c r="H31" s="96"/>
      <c r="I31" s="404">
        <f t="shared" si="2"/>
        <v>0</v>
      </c>
      <c r="J31" s="96"/>
      <c r="K31" s="404">
        <f>SUM('4.a. sz. mell.'!F31+'4. b.sz. mell.'!F31+'4.c. sz. mell.'!F31)</f>
        <v>0</v>
      </c>
    </row>
    <row r="32" spans="1:11" s="99" customFormat="1" ht="30" customHeight="1" thickBot="1" x14ac:dyDescent="0.25">
      <c r="A32" s="1256">
        <v>5</v>
      </c>
      <c r="B32" s="1161"/>
      <c r="C32" s="1156" t="s">
        <v>1506</v>
      </c>
      <c r="D32" s="119">
        <f>SUM('4.1 sz. mell'!D32+'---'!D23+'4.2 sz. mell'!D32+'........'!D23+'4.3.sz. mell. '!D32+'4.4 sz. mell.'!D31+'4.5.sz. mell.'!D31)</f>
        <v>0</v>
      </c>
      <c r="E32" s="119">
        <f>SUM('4.1 sz. mell'!E32+'---'!E23+'4.2 sz. mell'!E32+'........'!E23+'4.3.sz. mell. '!E32+'4.4 sz. mell.'!E31+'4.5.sz. mell.'!E31)</f>
        <v>0</v>
      </c>
      <c r="F32" s="119">
        <f>SUM('4.1 sz. mell'!F32+'---'!F23+'4.2 sz. mell'!F32+'........'!F23+'4.3.sz. mell. '!F32+'4.4 sz. mell.'!F31+'4.5.sz. mell.'!F31)</f>
        <v>0</v>
      </c>
      <c r="G32" s="119">
        <f>SUM('4.1 sz. mell'!G32+'---'!G23+'4.2 sz. mell'!G32+'........'!G23+'4.3.sz. mell. '!G32+'4.4 sz. mell.'!G31+'4.5.sz. mell.'!G31)</f>
        <v>0</v>
      </c>
      <c r="H32" s="96"/>
      <c r="I32" s="404">
        <f t="shared" si="2"/>
        <v>0</v>
      </c>
      <c r="J32" s="96"/>
      <c r="K32" s="404">
        <f>SUM('4.a. sz. mell.'!F32+'4. b.sz. mell.'!F32+'4.c. sz. mell.'!F32)</f>
        <v>0</v>
      </c>
    </row>
    <row r="33" spans="1:13" s="99" customFormat="1" ht="30.75" customHeight="1" thickBot="1" x14ac:dyDescent="0.25">
      <c r="A33" s="1216"/>
      <c r="B33" s="1162" t="s">
        <v>28</v>
      </c>
      <c r="C33" s="1151" t="s">
        <v>1492</v>
      </c>
      <c r="D33" s="1224"/>
      <c r="E33" s="1224"/>
      <c r="F33" s="1224"/>
      <c r="G33" s="1224"/>
      <c r="H33" s="96"/>
      <c r="I33" s="404">
        <f t="shared" si="2"/>
        <v>0</v>
      </c>
      <c r="J33" s="96"/>
      <c r="K33" s="404">
        <f>SUM('4.a. sz. mell.'!F33+'4. b.sz. mell.'!F33+'4.c. sz. mell.'!F33)</f>
        <v>0</v>
      </c>
    </row>
    <row r="34" spans="1:13" s="99" customFormat="1" ht="15" customHeight="1" thickBot="1" x14ac:dyDescent="0.3">
      <c r="A34" s="1216" t="s">
        <v>32</v>
      </c>
      <c r="B34" s="117"/>
      <c r="C34" s="1142" t="s">
        <v>1493</v>
      </c>
      <c r="D34" s="1224"/>
      <c r="E34" s="1224"/>
      <c r="F34" s="1224"/>
      <c r="G34" s="1224"/>
      <c r="H34" s="96"/>
      <c r="I34" s="404">
        <f t="shared" si="2"/>
        <v>0</v>
      </c>
      <c r="J34" s="96"/>
      <c r="K34" s="404">
        <f>SUM('4.a. sz. mell.'!F34+'4. b.sz. mell.'!F34+'4.c. sz. mell.'!F34)</f>
        <v>0</v>
      </c>
    </row>
    <row r="35" spans="1:13" s="96" customFormat="1" ht="30.75" customHeight="1" thickBot="1" x14ac:dyDescent="0.25">
      <c r="A35" s="1216"/>
      <c r="B35" s="1164" t="s">
        <v>33</v>
      </c>
      <c r="C35" s="1144" t="s">
        <v>1494</v>
      </c>
      <c r="D35" s="119">
        <f>SUM('4.1 sz. mell'!D36+'---'!D24+'4.2 sz. mell'!D33+'........'!D24+'4.3.sz. mell. '!D33+'4.4 sz. mell.'!D32+'4.5.sz. mell.'!D32)</f>
        <v>0</v>
      </c>
      <c r="E35" s="119">
        <f>SUM('4.1 sz. mell'!E36+'---'!E24+'4.2 sz. mell'!E33+'........'!E24+'4.3.sz. mell. '!E33+'4.4 sz. mell.'!E32+'4.5.sz. mell.'!E32)</f>
        <v>0</v>
      </c>
      <c r="F35" s="119">
        <f>SUM('4.1 sz. mell'!F36+'---'!F24+'4.2 sz. mell'!F33+'........'!F24+'4.3.sz. mell. '!F33+'4.4 sz. mell.'!F32+'4.5.sz. mell.'!F32)</f>
        <v>0</v>
      </c>
      <c r="G35" s="119">
        <f>SUM('4.1 sz. mell'!G36+'---'!G24+'4.2 sz. mell'!G33+'........'!G24+'4.3.sz. mell. '!G33+'4.4 sz. mell.'!G32+'4.5.sz. mell.'!G32)</f>
        <v>0</v>
      </c>
      <c r="I35" s="404">
        <f t="shared" si="2"/>
        <v>0</v>
      </c>
      <c r="K35" s="404">
        <f>SUM('4.a. sz. mell.'!F35+'4. b.sz. mell.'!F35+'4.c. sz. mell.'!F35)</f>
        <v>0</v>
      </c>
    </row>
    <row r="36" spans="1:13" s="96" customFormat="1" ht="15" customHeight="1" thickBot="1" x14ac:dyDescent="0.3">
      <c r="A36" s="1256" t="s">
        <v>74</v>
      </c>
      <c r="B36" s="117"/>
      <c r="C36" s="1156" t="s">
        <v>1495</v>
      </c>
      <c r="D36" s="333">
        <f>+D37+D38</f>
        <v>0</v>
      </c>
      <c r="E36" s="333">
        <f t="shared" ref="E36:G36" si="3">+E37+E38</f>
        <v>2614</v>
      </c>
      <c r="F36" s="333">
        <f>+F37+F38+F39</f>
        <v>598079</v>
      </c>
      <c r="G36" s="333">
        <f t="shared" si="3"/>
        <v>0</v>
      </c>
      <c r="I36" s="404">
        <f t="shared" si="2"/>
        <v>0</v>
      </c>
      <c r="K36" s="404">
        <f>SUM('4.a. sz. mell.'!F36+'4. b.sz. mell.'!F36+'4.c. sz. mell.'!F36)</f>
        <v>598079</v>
      </c>
    </row>
    <row r="37" spans="1:13" s="96" customFormat="1" ht="15" customHeight="1" x14ac:dyDescent="0.2">
      <c r="A37" s="1257"/>
      <c r="B37" s="1160" t="s">
        <v>36</v>
      </c>
      <c r="C37" s="1144" t="s">
        <v>1496</v>
      </c>
      <c r="D37" s="142">
        <f>SUM('4.1 sz. mell'!D38+'---'!D26+'4.2 sz. mell'!D37+'........'!D26+'4.3.sz. mell. '!D37+'4.4 sz. mell.'!D37+'4.5.sz. mell.'!D38)</f>
        <v>0</v>
      </c>
      <c r="E37" s="142">
        <f>SUM('4.1 sz. mell'!E38+'---'!E26+'4.2 sz. mell'!E37+'........'!E26+'4.3.sz. mell. '!E37+'4.4 sz. mell.'!E37+'4.5.sz. mell.'!E38)</f>
        <v>2614</v>
      </c>
      <c r="F37" s="142">
        <f>SUM('4.1 sz. mell'!F38+'---'!F26+'4.2 sz. mell'!F37+'........'!F26+'4.3.sz. mell. '!F37+'4.4 sz. mell.'!F37+'4.5.sz. mell.'!F38)</f>
        <v>0</v>
      </c>
      <c r="G37" s="142">
        <f>SUM('4.1 sz. mell'!G38+'---'!G26+'4.2 sz. mell'!G37+'........'!G26+'4.3.sz. mell. '!G37+'4.4 sz. mell.'!G37+'4.5.sz. mell.'!G38)</f>
        <v>0</v>
      </c>
      <c r="I37" s="404">
        <f t="shared" si="2"/>
        <v>0</v>
      </c>
      <c r="K37" s="404">
        <f>SUM('4.a. sz. mell.'!F37+'4. b.sz. mell.'!F37+'4.c. sz. mell.'!F37)</f>
        <v>0</v>
      </c>
    </row>
    <row r="38" spans="1:13" s="96" customFormat="1" ht="15" customHeight="1" thickBot="1" x14ac:dyDescent="0.25">
      <c r="A38" s="1258"/>
      <c r="B38" s="1160" t="s">
        <v>37</v>
      </c>
      <c r="C38" s="1144" t="s">
        <v>1497</v>
      </c>
      <c r="D38" s="145">
        <f>SUM('4.1 sz. mell'!D39+'---'!D27+'4.2 sz. mell'!D38+'........'!D27+'4.3.sz. mell. '!D38+'4.4 sz. mell.'!D38+'4.5.sz. mell.'!D39)</f>
        <v>0</v>
      </c>
      <c r="E38" s="145">
        <f>SUM('4.1 sz. mell'!E39+'---'!E27+'4.2 sz. mell'!E38+'........'!E27+'4.3.sz. mell. '!E38+'4.4 sz. mell.'!E38+'4.5.sz. mell.'!E39)</f>
        <v>0</v>
      </c>
      <c r="F38" s="145">
        <f>SUM('4.1 sz. mell'!F39+'---'!F27+'4.2 sz. mell'!F38+'........'!F27+'4.3.sz. mell. '!F38+'4.4 sz. mell.'!F38+'4.5.sz. mell.'!F39)</f>
        <v>0</v>
      </c>
      <c r="G38" s="145">
        <f>SUM('4.1 sz. mell'!G39+'---'!G27+'4.2 sz. mell'!G38+'........'!G27+'4.3.sz. mell. '!G38+'4.4 sz. mell.'!G38+'4.5.sz. mell.'!G39)</f>
        <v>0</v>
      </c>
      <c r="I38" s="404">
        <f t="shared" si="2"/>
        <v>0</v>
      </c>
      <c r="K38" s="404">
        <f>SUM('4.a. sz. mell.'!F38+'4. b.sz. mell.'!F38+'4.c. sz. mell.'!F38)</f>
        <v>0</v>
      </c>
    </row>
    <row r="39" spans="1:13" s="99" customFormat="1" ht="15" customHeight="1" thickBot="1" x14ac:dyDescent="0.25">
      <c r="A39" s="116"/>
      <c r="B39" s="1160" t="s">
        <v>1499</v>
      </c>
      <c r="C39" s="1144" t="s">
        <v>1498</v>
      </c>
      <c r="D39" s="145">
        <f>'4.1 sz. mell'!D40+'---'!D28+'4.2 sz. mell'!D39+'........'!D28+'4.3.sz. mell. '!D39+'4.4 sz. mell.'!D39+'4.5.sz. mell.'!D40+'4.6.sz. mell.'!D39</f>
        <v>548607</v>
      </c>
      <c r="E39" s="145">
        <f>'4.1 sz. mell'!E40+'---'!E28+'4.2 sz. mell'!E39+'........'!E28+'4.3.sz. mell. '!E39+'4.4 sz. mell.'!E39+'4.5.sz. mell.'!E40+'4.6.sz. mell.'!E39</f>
        <v>627509</v>
      </c>
      <c r="F39" s="145">
        <f>'4.1 sz. mell'!F40+'---'!F28+'4.2 sz. mell'!F39+'........'!F28+'4.3.sz. mell. '!F39+'4.4 sz. mell.'!F39+'4.5.sz. mell.'!F40+'4.6.sz. mell.'!F39</f>
        <v>598079</v>
      </c>
      <c r="G39" s="36">
        <f t="shared" ref="G39:G43" si="4">SUM(F39/E39)*100</f>
        <v>95.310027425901453</v>
      </c>
      <c r="H39" s="96"/>
      <c r="I39" s="404">
        <f t="shared" si="2"/>
        <v>0</v>
      </c>
      <c r="J39" s="674"/>
      <c r="K39" s="404">
        <f>SUM('4.a. sz. mell.'!F39+'4. b.sz. mell.'!F39+'4.c. sz. mell.'!F39)</f>
        <v>598079</v>
      </c>
      <c r="M39" s="110">
        <f>SUM(F40:F41)</f>
        <v>598079</v>
      </c>
    </row>
    <row r="40" spans="1:13" s="99" customFormat="1" ht="15" customHeight="1" thickBot="1" x14ac:dyDescent="0.25">
      <c r="A40" s="1421"/>
      <c r="B40" s="1413" t="s">
        <v>1777</v>
      </c>
      <c r="C40" s="1414" t="s">
        <v>1775</v>
      </c>
      <c r="D40" s="1224"/>
      <c r="E40" s="1224"/>
      <c r="F40" s="1423">
        <f>SUM('4.c. sz. mell.'!F40)</f>
        <v>19128</v>
      </c>
      <c r="G40" s="1425"/>
      <c r="H40" s="96"/>
      <c r="I40" s="404"/>
      <c r="J40" s="674"/>
      <c r="K40" s="404">
        <f>SUM('4.a. sz. mell.'!F40+'4. b.sz. mell.'!F40+'4.c. sz. mell.'!F40)</f>
        <v>19128</v>
      </c>
    </row>
    <row r="41" spans="1:13" s="99" customFormat="1" ht="15" customHeight="1" thickBot="1" x14ac:dyDescent="0.25">
      <c r="A41" s="1421"/>
      <c r="B41" s="1417" t="s">
        <v>1778</v>
      </c>
      <c r="C41" s="1418" t="s">
        <v>1776</v>
      </c>
      <c r="D41" s="1224"/>
      <c r="E41" s="1224"/>
      <c r="F41" s="1423">
        <f>SUM('4.a. sz. mell.'!F39+'4.c. sz. mell.'!F41)</f>
        <v>578951</v>
      </c>
      <c r="G41" s="1425"/>
      <c r="H41" s="96"/>
      <c r="I41" s="404"/>
      <c r="J41" s="674"/>
      <c r="K41" s="404">
        <f>SUM('4.a. sz. mell.'!F41+'4. b.sz. mell.'!F41+'4.c. sz. mell.'!F41)</f>
        <v>578951</v>
      </c>
    </row>
    <row r="42" spans="1:13" s="99" customFormat="1" ht="15" customHeight="1" thickBot="1" x14ac:dyDescent="0.3">
      <c r="A42" s="116"/>
      <c r="B42" s="117"/>
      <c r="C42" s="2"/>
      <c r="D42" s="119"/>
      <c r="E42" s="119"/>
      <c r="F42" s="119">
        <f>'4.1 sz. mell'!F43</f>
        <v>0</v>
      </c>
      <c r="G42" s="36"/>
      <c r="I42" s="404">
        <f t="shared" si="2"/>
        <v>0</v>
      </c>
      <c r="J42" s="110"/>
      <c r="K42" s="404">
        <f>SUM('4.a. sz. mell.'!F40+'4. b.sz. mell.'!F40+'4.c. sz. mell.'!F42)</f>
        <v>0</v>
      </c>
    </row>
    <row r="43" spans="1:13" s="99" customFormat="1" ht="18" customHeight="1" thickBot="1" x14ac:dyDescent="0.3">
      <c r="A43" s="150" t="s">
        <v>38</v>
      </c>
      <c r="B43" s="334"/>
      <c r="C43" s="335" t="s">
        <v>510</v>
      </c>
      <c r="D43" s="152">
        <f>SUM(D8,D19,D28,D32,D35,D36,D39)</f>
        <v>603273</v>
      </c>
      <c r="E43" s="152">
        <f t="shared" ref="E43" si="5">SUM(E8,E19,E28,E32,E35,E36,E39)</f>
        <v>740283</v>
      </c>
      <c r="F43" s="152">
        <f>SUM(F36+F34+F32+F28+F26+F19+F8)</f>
        <v>598079</v>
      </c>
      <c r="G43" s="36">
        <f t="shared" si="4"/>
        <v>80.790589544809208</v>
      </c>
      <c r="I43" s="404">
        <f t="shared" si="2"/>
        <v>0</v>
      </c>
      <c r="K43" s="404">
        <f>SUM('4.a. sz. mell.'!F41+'4. b.sz. mell.'!F41+'4.c. sz. mell.'!F43)</f>
        <v>598079</v>
      </c>
    </row>
    <row r="44" spans="1:13" s="99" customFormat="1" ht="15" customHeight="1" thickBot="1" x14ac:dyDescent="0.25">
      <c r="A44" s="336"/>
      <c r="B44" s="153"/>
      <c r="C44" s="154"/>
      <c r="D44" s="155"/>
      <c r="E44" s="155"/>
      <c r="F44" s="155"/>
      <c r="G44" s="155"/>
      <c r="I44" s="404">
        <f t="shared" si="2"/>
        <v>0</v>
      </c>
      <c r="K44" s="404">
        <f>SUM('4.a. sz. mell.'!F42+'4. b.sz. mell.'!F42+'4.c. sz. mell.'!F44)</f>
        <v>0</v>
      </c>
    </row>
    <row r="45" spans="1:13" s="89" customFormat="1" ht="21" customHeight="1" thickBot="1" x14ac:dyDescent="0.25">
      <c r="A45" s="328"/>
      <c r="B45" s="329"/>
      <c r="C45" s="329" t="s">
        <v>82</v>
      </c>
      <c r="D45" s="330"/>
      <c r="E45" s="330"/>
      <c r="F45" s="330"/>
      <c r="G45" s="330"/>
      <c r="I45" s="404">
        <f t="shared" si="2"/>
        <v>0</v>
      </c>
      <c r="K45" s="404">
        <f>SUM('4.a. sz. mell.'!F43+'4. b.sz. mell.'!F43+'4.c. sz. mell.'!F45)</f>
        <v>0</v>
      </c>
    </row>
    <row r="46" spans="1:13" s="125" customFormat="1" ht="15" customHeight="1" thickBot="1" x14ac:dyDescent="0.25">
      <c r="A46" s="93" t="s">
        <v>2</v>
      </c>
      <c r="B46" s="2"/>
      <c r="C46" s="10" t="s">
        <v>49</v>
      </c>
      <c r="D46" s="36">
        <f>SUM(D47:D51)</f>
        <v>578773</v>
      </c>
      <c r="E46" s="36">
        <f t="shared" ref="E46:F46" si="6">SUM(E47:E51)</f>
        <v>721643</v>
      </c>
      <c r="F46" s="36">
        <f t="shared" si="6"/>
        <v>598079</v>
      </c>
      <c r="G46" s="36"/>
      <c r="I46" s="404">
        <f t="shared" si="2"/>
        <v>0</v>
      </c>
      <c r="K46" s="404">
        <f>SUM('4.a. sz. mell.'!F44+'4. b.sz. mell.'!F44+'4.c. sz. mell.'!F46)</f>
        <v>598079</v>
      </c>
    </row>
    <row r="47" spans="1:13" ht="15" customHeight="1" thickBot="1" x14ac:dyDescent="0.25">
      <c r="A47" s="113"/>
      <c r="B47" s="124" t="s">
        <v>50</v>
      </c>
      <c r="C47" s="7" t="s">
        <v>51</v>
      </c>
      <c r="D47" s="142">
        <f>SUM('4.1 sz. mell'!D48+'---'!D34+'4.2 sz. mell'!D45+'........'!D34+'4.3.sz. mell. '!D45+'4.4 sz. mell.'!D46+'4.5.sz. mell.'!D46+'4.6.sz. mell.'!D46)</f>
        <v>347693</v>
      </c>
      <c r="E47" s="142">
        <f>SUM('4.1 sz. mell'!E48+'---'!E34+'4.2 sz. mell'!E45+'........'!E34+'4.3.sz. mell. '!E45+'4.4 sz. mell.'!E46+'4.5.sz. mell.'!E46+'4.6.sz. mell.'!E46)</f>
        <v>416122</v>
      </c>
      <c r="F47" s="142">
        <f>SUM('4.1 sz. mell'!F48+'---'!F34+'4.2 sz. mell'!F45+'........'!F34+'4.3.sz. mell. '!F45+'4.4 sz. mell.'!F46+'4.5.sz. mell.'!F46+'4.6.sz. mell.'!F46)</f>
        <v>372763</v>
      </c>
      <c r="G47" s="36"/>
      <c r="I47" s="404">
        <f t="shared" si="2"/>
        <v>0</v>
      </c>
      <c r="K47" s="404">
        <f>SUM('4.a. sz. mell.'!F45+'4. b.sz. mell.'!F45+'4.c. sz. mell.'!F47)</f>
        <v>372763</v>
      </c>
    </row>
    <row r="48" spans="1:13" ht="15" customHeight="1" thickBot="1" x14ac:dyDescent="0.25">
      <c r="A48" s="97"/>
      <c r="B48" s="109" t="s">
        <v>52</v>
      </c>
      <c r="C48" s="3" t="s">
        <v>53</v>
      </c>
      <c r="D48" s="142">
        <f>SUM('4.1 sz. mell'!D49+'---'!D35+'4.2 sz. mell'!D46+'........'!D35+'4.3.sz. mell. '!D46+'4.4 sz. mell.'!D47+'4.5.sz. mell.'!D47+'4.6.sz. mell.'!D47)</f>
        <v>91754</v>
      </c>
      <c r="E48" s="142">
        <f>SUM('4.1 sz. mell'!E49+'---'!E35+'4.2 sz. mell'!E46+'........'!E35+'4.3.sz. mell. '!E46+'4.4 sz. mell.'!E47+'4.5.sz. mell.'!E47+'4.6.sz. mell.'!E47)</f>
        <v>110108</v>
      </c>
      <c r="F48" s="142">
        <f>SUM('4.1 sz. mell'!F49+'---'!F35+'4.2 sz. mell'!F46+'........'!F35+'4.3.sz. mell. '!F46+'4.4 sz. mell.'!F47+'4.5.sz. mell.'!F47+'4.6.sz. mell.'!F47)</f>
        <v>102880</v>
      </c>
      <c r="G48" s="36"/>
      <c r="I48" s="404">
        <f t="shared" si="2"/>
        <v>0</v>
      </c>
      <c r="K48" s="404">
        <f>SUM('4.a. sz. mell.'!F46+'4. b.sz. mell.'!F46+'4.c. sz. mell.'!F48)</f>
        <v>102880</v>
      </c>
    </row>
    <row r="49" spans="1:11" ht="15" customHeight="1" thickBot="1" x14ac:dyDescent="0.25">
      <c r="A49" s="97"/>
      <c r="B49" s="109" t="s">
        <v>54</v>
      </c>
      <c r="C49" s="3" t="s">
        <v>55</v>
      </c>
      <c r="D49" s="142">
        <f>SUM('4.1 sz. mell'!D50+'---'!D36+'4.2 sz. mell'!D47+'........'!D36+'4.3.sz. mell. '!D47+'4.4 sz. mell.'!D48+'4.5.sz. mell.'!D48+'4.6.sz. mell.'!D48)</f>
        <v>116326</v>
      </c>
      <c r="E49" s="142">
        <f>SUM('4.1 sz. mell'!E50+'---'!E36+'4.2 sz. mell'!E47+'........'!E36+'4.3.sz. mell. '!E47+'4.4 sz. mell.'!E48+'4.5.sz. mell.'!E48+'4.6.sz. mell.'!E48)</f>
        <v>122607</v>
      </c>
      <c r="F49" s="142">
        <f>SUM('4.1 sz. mell'!F50+'---'!F36+'4.2 sz. mell'!F47+'........'!F36+'4.3.sz. mell. '!F47+'4.4 sz. mell.'!F48+'4.5.sz. mell.'!F48+'4.6.sz. mell.'!F48)</f>
        <v>99436</v>
      </c>
      <c r="G49" s="36"/>
      <c r="I49" s="404">
        <f t="shared" si="2"/>
        <v>0</v>
      </c>
      <c r="K49" s="404">
        <f>SUM('4.a. sz. mell.'!F47+'4. b.sz. mell.'!F47+'4.c. sz. mell.'!F49)</f>
        <v>99436</v>
      </c>
    </row>
    <row r="50" spans="1:11" ht="15" customHeight="1" thickBot="1" x14ac:dyDescent="0.25">
      <c r="A50" s="97"/>
      <c r="B50" s="109" t="s">
        <v>56</v>
      </c>
      <c r="C50" s="3" t="s">
        <v>57</v>
      </c>
      <c r="D50" s="142">
        <f>SUM('4.1 sz. mell'!D51+'---'!D37+'4.2 sz. mell'!D48+'........'!D37+'4.3.sz. mell. '!D48+'4.4 sz. mell.'!D49+'4.5.sz. mell.'!D49+'4.6.sz. mell.'!D49)</f>
        <v>23000</v>
      </c>
      <c r="E50" s="142">
        <f>SUM('4.1 sz. mell'!E51+'---'!E37+'4.2 sz. mell'!E48+'........'!E37+'4.3.sz. mell. '!E48+'4.4 sz. mell.'!E49+'4.5.sz. mell.'!E49+'4.6.sz. mell.'!E49)</f>
        <v>72806</v>
      </c>
      <c r="F50" s="142">
        <f>SUM('4.1 sz. mell'!F51+'---'!F37+'4.2 sz. mell'!F48+'........'!F37+'4.3.sz. mell. '!F48+'4.4 sz. mell.'!F49+'4.5.sz. mell.'!F49+'4.6.sz. mell.'!F49)</f>
        <v>23000</v>
      </c>
      <c r="G50" s="36"/>
      <c r="I50" s="404">
        <f t="shared" si="2"/>
        <v>0</v>
      </c>
      <c r="K50" s="404">
        <f>SUM('4.a. sz. mell.'!F48+'4. b.sz. mell.'!F48+'4.c. sz. mell.'!F50)</f>
        <v>23000</v>
      </c>
    </row>
    <row r="51" spans="1:11" ht="15" customHeight="1" thickBot="1" x14ac:dyDescent="0.25">
      <c r="A51" s="97"/>
      <c r="B51" s="109" t="s">
        <v>58</v>
      </c>
      <c r="C51" s="3" t="s">
        <v>59</v>
      </c>
      <c r="D51" s="142">
        <f>SUM('4.1 sz. mell'!D52+'---'!D38+'4.2 sz. mell'!D49+'........'!D38+'4.3.sz. mell. '!D49+'4.4 sz. mell.'!D50+'4.5.sz. mell.'!D50+'4.6.sz. mell.'!D50)</f>
        <v>0</v>
      </c>
      <c r="E51" s="142">
        <f>SUM('4.1 sz. mell'!E52+'---'!E38+'4.2 sz. mell'!E49+'........'!E38+'4.3.sz. mell. '!E49+'4.4 sz. mell.'!E50+'4.5.sz. mell.'!E50+'4.6.sz. mell.'!E50)</f>
        <v>0</v>
      </c>
      <c r="F51" s="142">
        <f>SUM('4.1 sz. mell'!F52+'---'!F38+'4.2 sz. mell'!F49+'........'!F38+'4.3.sz. mell. '!F49+'4.4 sz. mell.'!F50+'4.5.sz. mell.'!F50+'4.6.sz. mell.'!F50)</f>
        <v>0</v>
      </c>
      <c r="G51" s="36"/>
      <c r="I51" s="404">
        <f t="shared" si="2"/>
        <v>0</v>
      </c>
      <c r="K51" s="404">
        <f>SUM('4.a. sz. mell.'!F49+'4. b.sz. mell.'!F49+'4.c. sz. mell.'!F51)</f>
        <v>0</v>
      </c>
    </row>
    <row r="52" spans="1:11" ht="15" hidden="1" customHeight="1" thickBot="1" x14ac:dyDescent="0.25">
      <c r="A52" s="97"/>
      <c r="B52" s="98"/>
      <c r="C52" s="3"/>
      <c r="D52" s="142"/>
      <c r="E52" s="142"/>
      <c r="F52" s="142"/>
      <c r="G52" s="36"/>
      <c r="I52" s="404">
        <f t="shared" si="2"/>
        <v>0</v>
      </c>
      <c r="K52" s="404">
        <f>SUM('4.a. sz. mell.'!F50+'4. b.sz. mell.'!F50+'4.c. sz. mell.'!F52)</f>
        <v>0</v>
      </c>
    </row>
    <row r="53" spans="1:11" ht="15" hidden="1" customHeight="1" thickBot="1" x14ac:dyDescent="0.25">
      <c r="A53" s="97"/>
      <c r="B53" s="98"/>
      <c r="C53" s="3"/>
      <c r="D53" s="142"/>
      <c r="E53" s="142"/>
      <c r="F53" s="142"/>
      <c r="G53" s="36"/>
      <c r="I53" s="404">
        <f t="shared" si="2"/>
        <v>0</v>
      </c>
      <c r="K53" s="404">
        <f>SUM('4.a. sz. mell.'!F51+'4. b.sz. mell.'!F51+'4.c. sz. mell.'!F53)</f>
        <v>0</v>
      </c>
    </row>
    <row r="54" spans="1:11" ht="18.75" customHeight="1" thickBot="1" x14ac:dyDescent="0.25">
      <c r="A54" s="93" t="s">
        <v>3</v>
      </c>
      <c r="B54" s="2"/>
      <c r="C54" s="10" t="s">
        <v>1513</v>
      </c>
      <c r="D54" s="337" t="e">
        <f>SUM(D55:D58)</f>
        <v>#REF!</v>
      </c>
      <c r="E54" s="337" t="e">
        <f t="shared" ref="E54" si="7">SUM(E55:E58)</f>
        <v>#REF!</v>
      </c>
      <c r="F54" s="337">
        <f>SUM(F55:F58)</f>
        <v>0</v>
      </c>
      <c r="G54" s="36" t="e">
        <f t="shared" ref="G54:G61" si="8">SUM(F54/E54)*100</f>
        <v>#REF!</v>
      </c>
      <c r="I54" s="404">
        <f t="shared" si="2"/>
        <v>0</v>
      </c>
      <c r="K54" s="404">
        <f>SUM('4.a. sz. mell.'!F52+'4. b.sz. mell.'!F52+'4.c. sz. mell.'!F54)</f>
        <v>0</v>
      </c>
    </row>
    <row r="55" spans="1:11" s="125" customFormat="1" ht="15" customHeight="1" thickBot="1" x14ac:dyDescent="0.25">
      <c r="A55" s="113"/>
      <c r="B55" s="1165" t="s">
        <v>4</v>
      </c>
      <c r="C55" s="1151" t="s">
        <v>1173</v>
      </c>
      <c r="D55" s="142">
        <f>SUM('6.2.sz.mell.'!H105)</f>
        <v>0</v>
      </c>
      <c r="E55" s="142">
        <f>'4.1 sz. mell'!E54</f>
        <v>17440</v>
      </c>
      <c r="F55" s="142">
        <f>'4.1 sz. mell'!F54</f>
        <v>0</v>
      </c>
      <c r="G55" s="36">
        <f t="shared" si="8"/>
        <v>0</v>
      </c>
      <c r="I55" s="404">
        <f t="shared" si="2"/>
        <v>0</v>
      </c>
      <c r="K55" s="404">
        <f>SUM('4.a. sz. mell.'!F53+'4. b.sz. mell.'!F53+'4.c. sz. mell.'!F55)</f>
        <v>0</v>
      </c>
    </row>
    <row r="56" spans="1:11" ht="15" customHeight="1" thickBot="1" x14ac:dyDescent="0.25">
      <c r="A56" s="97"/>
      <c r="B56" s="1166" t="s">
        <v>6</v>
      </c>
      <c r="C56" s="1144" t="s">
        <v>64</v>
      </c>
      <c r="D56" s="142"/>
      <c r="E56" s="142"/>
      <c r="F56" s="142"/>
      <c r="G56" s="36"/>
      <c r="I56" s="404">
        <f t="shared" si="2"/>
        <v>0</v>
      </c>
      <c r="K56" s="404">
        <f>SUM('4.a. sz. mell.'!F54+'4. b.sz. mell.'!F54+'4.c. sz. mell.'!F56)</f>
        <v>0</v>
      </c>
    </row>
    <row r="57" spans="1:11" ht="18.75" customHeight="1" thickBot="1" x14ac:dyDescent="0.25">
      <c r="A57" s="97"/>
      <c r="B57" s="1166" t="s">
        <v>7</v>
      </c>
      <c r="C57" s="1144" t="s">
        <v>1500</v>
      </c>
      <c r="D57" s="142">
        <f>SUM('4.1 sz. mell'!D56+'---'!D42+'4.2 sz. mell'!D53+'........'!D42+'4.3.sz. mell. '!D53+'4.4 sz. mell.'!D54+'4.5.sz. mell.'!D54)</f>
        <v>0</v>
      </c>
      <c r="E57" s="142">
        <f>SUM('4.1 sz. mell'!E56+'---'!E42+'4.2 sz. mell'!E53+'........'!E42+'4.3.sz. mell. '!E53+'4.4 sz. mell.'!E54+'4.5.sz. mell.'!E54)</f>
        <v>0</v>
      </c>
      <c r="F57" s="142">
        <f>SUM('4.1 sz. mell'!F56+'---'!F42+'4.2 sz. mell'!F53+'........'!F42+'4.3.sz. mell. '!F53+'4.4 sz. mell.'!F54+'4.5.sz. mell.'!F54)</f>
        <v>0</v>
      </c>
      <c r="G57" s="36"/>
      <c r="I57" s="404">
        <f t="shared" si="2"/>
        <v>0</v>
      </c>
      <c r="K57" s="404">
        <f>SUM('4.a. sz. mell.'!F55+'4. b.sz. mell.'!F55+'4.c. sz. mell.'!F57)</f>
        <v>0</v>
      </c>
    </row>
    <row r="58" spans="1:11" ht="15" hidden="1" customHeight="1" thickBot="1" x14ac:dyDescent="0.25">
      <c r="A58" s="97"/>
      <c r="B58" s="98"/>
      <c r="C58" s="3"/>
      <c r="D58" s="142" t="e">
        <f>SUM('4.1 sz. mell'!#REF!+'---'!D43+'4.2 sz. mell'!D54+'........'!D43+'4.3.sz. mell. '!D54+'4.4 sz. mell.'!D55+'4.5.sz. mell.'!D55)</f>
        <v>#REF!</v>
      </c>
      <c r="E58" s="142" t="e">
        <f>SUM('4.1 sz. mell'!#REF!+'---'!E43+'4.2 sz. mell'!E54+'........'!E43+'4.3.sz. mell. '!E54+'4.4 sz. mell.'!E55+'4.5.sz. mell.'!E55)</f>
        <v>#REF!</v>
      </c>
      <c r="F58" s="142"/>
      <c r="G58" s="36"/>
      <c r="I58" s="404">
        <f t="shared" si="2"/>
        <v>0</v>
      </c>
      <c r="K58" s="404">
        <f>SUM('4.a. sz. mell.'!F56+'4. b.sz. mell.'!F56+'4.c. sz. mell.'!F58)</f>
        <v>0</v>
      </c>
    </row>
    <row r="59" spans="1:11" ht="15" customHeight="1" thickBot="1" x14ac:dyDescent="0.25">
      <c r="A59" s="114" t="s">
        <v>12</v>
      </c>
      <c r="B59" s="338"/>
      <c r="C59" s="339" t="s">
        <v>514</v>
      </c>
      <c r="D59" s="145">
        <f>SUM('4.1 sz. mell'!D57+'---'!D44+'4.2 sz. mell'!D55+'........'!D44+'4.3.sz. mell. '!D55+'4.4 sz. mell.'!D56+'4.5.sz. mell.'!D56)</f>
        <v>0</v>
      </c>
      <c r="E59" s="145">
        <f>SUM('4.1 sz. mell'!E57+'---'!E44+'4.2 sz. mell'!E55+'........'!E44+'4.3.sz. mell. '!E55+'4.4 sz. mell.'!E56+'4.5.sz. mell.'!E56)</f>
        <v>1200</v>
      </c>
      <c r="F59" s="145">
        <f>SUM('4.1 sz. mell'!F57+'---'!F44+'4.2 sz. mell'!F55+'........'!F44+'4.3.sz. mell. '!F55+'4.4 sz. mell.'!F56+'4.5.sz. mell.'!F56)</f>
        <v>0</v>
      </c>
      <c r="G59" s="36"/>
      <c r="I59" s="404">
        <f t="shared" si="2"/>
        <v>0</v>
      </c>
      <c r="K59" s="404">
        <f>SUM('4.a. sz. mell.'!F57+'4. b.sz. mell.'!F57+'4.c. sz. mell.'!F59)</f>
        <v>0</v>
      </c>
    </row>
    <row r="60" spans="1:11" s="99" customFormat="1" ht="15" customHeight="1" thickBot="1" x14ac:dyDescent="0.25">
      <c r="A60" s="93"/>
      <c r="B60" s="2"/>
      <c r="C60" s="10"/>
      <c r="D60" s="119"/>
      <c r="E60" s="119"/>
      <c r="F60" s="119">
        <f>'4.1 sz. mell'!F58</f>
        <v>0</v>
      </c>
      <c r="G60" s="36"/>
      <c r="I60" s="404">
        <f t="shared" si="2"/>
        <v>0</v>
      </c>
      <c r="K60" s="404">
        <f>SUM('4.a. sz. mell.'!F58+'4. b.sz. mell.'!F58+'4.c. sz. mell.'!F60)</f>
        <v>0</v>
      </c>
    </row>
    <row r="61" spans="1:11" ht="19.5" customHeight="1" thickBot="1" x14ac:dyDescent="0.3">
      <c r="A61" s="150" t="s">
        <v>68</v>
      </c>
      <c r="B61" s="151"/>
      <c r="C61" s="335" t="s">
        <v>516</v>
      </c>
      <c r="D61" s="340" t="e">
        <f>+D46+D54+D59</f>
        <v>#REF!</v>
      </c>
      <c r="E61" s="340" t="e">
        <f t="shared" ref="E61" si="9">+E46+E54+E59</f>
        <v>#REF!</v>
      </c>
      <c r="F61" s="340">
        <f>+F46+F54+F59+F60</f>
        <v>598079</v>
      </c>
      <c r="G61" s="36" t="e">
        <f t="shared" si="8"/>
        <v>#REF!</v>
      </c>
      <c r="I61" s="404">
        <f t="shared" si="2"/>
        <v>0</v>
      </c>
      <c r="K61" s="404">
        <f>SUM('4.a. sz. mell.'!F59+'4. b.sz. mell.'!F59+'4.c. sz. mell.'!F61)</f>
        <v>598079</v>
      </c>
    </row>
    <row r="62" spans="1:11" ht="15" customHeight="1" thickBot="1" x14ac:dyDescent="0.25">
      <c r="A62" s="165"/>
      <c r="B62" s="166"/>
      <c r="C62" s="166"/>
      <c r="D62" s="132"/>
      <c r="E62" s="132"/>
      <c r="F62" s="132"/>
      <c r="G62" s="36"/>
      <c r="I62" s="404">
        <f t="shared" si="2"/>
        <v>0</v>
      </c>
      <c r="K62" s="404">
        <f>SUM('4.a. sz. mell.'!F60+'4. b.sz. mell.'!F60+'4.c. sz. mell.'!F62)</f>
        <v>0</v>
      </c>
    </row>
    <row r="63" spans="1:11" ht="15" customHeight="1" thickBot="1" x14ac:dyDescent="0.25">
      <c r="A63" s="1551" t="s">
        <v>136</v>
      </c>
      <c r="B63" s="1551"/>
      <c r="C63" s="1551"/>
      <c r="D63" s="341">
        <f>SUM('4.1 sz. mell'!D61+'---'!D48+'4.2 sz. mell'!D59+'........'!D48+'4.3.sz. mell. '!D59+'4.4 sz. mell.'!D60+'4.5.sz. mell.'!D60+'4.6.sz. mell.'!D60)</f>
        <v>104</v>
      </c>
      <c r="E63" s="341">
        <v>104</v>
      </c>
      <c r="F63" s="341">
        <f>SUM('4.1 sz. mell'!F61+'4.2 sz. mell'!F59+'4.3.sz. mell. '!F59+'4.4 sz. mell.'!F60+'4.5.sz. mell.'!F60+'4.6.sz. mell.'!F60)</f>
        <v>107</v>
      </c>
      <c r="G63" s="341">
        <f>SUM('4.1 sz. mell'!G61+'---'!G48+'4.2 sz. mell'!G59+'........'!G48+'4.3.sz. mell. '!G59+'4.4 sz. mell.'!G60+'4.5.sz. mell.'!G60+'4.6.sz. mell.'!G60)</f>
        <v>0</v>
      </c>
      <c r="I63" s="404">
        <f t="shared" si="2"/>
        <v>0</v>
      </c>
      <c r="K63" s="404">
        <f>SUM('4.a. sz. mell.'!F61+'4. b.sz. mell.'!F61+'4.c. sz. mell.'!F63)</f>
        <v>107</v>
      </c>
    </row>
    <row r="64" spans="1:11" ht="15" customHeight="1" thickBot="1" x14ac:dyDescent="0.25">
      <c r="A64" s="1551" t="s">
        <v>137</v>
      </c>
      <c r="B64" s="1551"/>
      <c r="C64" s="1551"/>
      <c r="D64" s="119">
        <f>SUM('4.1 sz. mell'!D62+'---'!D49+'4.2 sz. mell'!D60+'........'!D49+'4.3.sz. mell. '!D60+'4.4 sz. mell.'!D61+'4.5.sz. mell.'!D61)</f>
        <v>0</v>
      </c>
      <c r="E64" s="119">
        <f>SUM('4.1 sz. mell'!E62+'---'!E49+'4.2 sz. mell'!E60+'........'!E49+'4.3.sz. mell. '!E60+'4.4 sz. mell.'!E61+'4.5.sz. mell.'!E61)</f>
        <v>0</v>
      </c>
      <c r="F64" s="119">
        <f>SUM('4.1 sz. mell'!F62+'---'!F49+'4.2 sz. mell'!F60+'........'!F49+'4.3.sz. mell. '!F60+'4.4 sz. mell.'!F61+'4.5.sz. mell.'!F61)</f>
        <v>0</v>
      </c>
      <c r="G64" s="119">
        <f>SUM('4.1 sz. mell'!G62+'---'!G49+'4.2 sz. mell'!G60+'........'!G49+'4.3.sz. mell. '!G60+'4.4 sz. mell.'!G61+'4.5.sz. mell.'!G61)</f>
        <v>0</v>
      </c>
      <c r="I64" s="404">
        <f t="shared" si="2"/>
        <v>0</v>
      </c>
      <c r="K64" s="404">
        <f>SUM('4.a. sz. mell.'!F62+'4. b.sz. mell.'!F62+'4.c. sz. mell.'!F64)</f>
        <v>0</v>
      </c>
    </row>
  </sheetData>
  <sheetProtection selectLockedCells="1" selectUnlockedCells="1"/>
  <mergeCells count="9">
    <mergeCell ref="A64:C64"/>
    <mergeCell ref="D1:G1"/>
    <mergeCell ref="A2:B2"/>
    <mergeCell ref="A3:B3"/>
    <mergeCell ref="D4:F4"/>
    <mergeCell ref="A5:B5"/>
    <mergeCell ref="A63:C63"/>
    <mergeCell ref="D2:D3"/>
    <mergeCell ref="F2:F3"/>
  </mergeCells>
  <printOptions horizontalCentered="1"/>
  <pageMargins left="0.27559055118110237" right="0.23622047244094491" top="0.31496062992125984" bottom="0.47244094488188981" header="0.19685039370078741" footer="0.23622047244094491"/>
  <pageSetup paperSize="9" scale="70" firstPageNumber="61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view="pageBreakPreview" zoomScaleSheetLayoutView="100" workbookViewId="0">
      <selection activeCell="D1" sqref="D1:G1"/>
    </sheetView>
  </sheetViews>
  <sheetFormatPr defaultRowHeight="15" x14ac:dyDescent="0.2"/>
  <cols>
    <col min="1" max="1" width="9.6640625" style="75" customWidth="1"/>
    <col min="2" max="2" width="12.83203125" style="76" customWidth="1"/>
    <col min="3" max="3" width="60.6640625" style="76" customWidth="1"/>
    <col min="4" max="4" width="14.1640625" style="99" hidden="1" customWidth="1"/>
    <col min="5" max="5" width="18" style="99" hidden="1" customWidth="1"/>
    <col min="6" max="6" width="18" style="99" customWidth="1"/>
    <col min="7" max="7" width="12.83203125" style="99" hidden="1" customWidth="1"/>
    <col min="8" max="8" width="9.83203125" style="76" bestFit="1" customWidth="1"/>
    <col min="9" max="9" width="11.5" style="76" bestFit="1" customWidth="1"/>
    <col min="10" max="10" width="9.83203125" style="76" customWidth="1"/>
    <col min="11" max="16384" width="9.33203125" style="76"/>
  </cols>
  <sheetData>
    <row r="1" spans="1:10" s="326" customFormat="1" ht="21" customHeight="1" thickBot="1" x14ac:dyDescent="0.25">
      <c r="A1" s="323"/>
      <c r="B1" s="324"/>
      <c r="C1" s="325"/>
      <c r="D1" s="1552" t="s">
        <v>1793</v>
      </c>
      <c r="E1" s="1552"/>
      <c r="F1" s="1552"/>
      <c r="G1" s="1552"/>
    </row>
    <row r="2" spans="1:10" s="79" customFormat="1" ht="28.5" customHeight="1" thickBot="1" x14ac:dyDescent="0.25">
      <c r="A2" s="1522" t="s">
        <v>495</v>
      </c>
      <c r="B2" s="1522"/>
      <c r="C2" s="1254" t="s">
        <v>496</v>
      </c>
      <c r="D2" s="1523" t="s">
        <v>1024</v>
      </c>
      <c r="E2" s="343"/>
      <c r="F2" s="1523" t="s">
        <v>1420</v>
      </c>
      <c r="G2" s="1254"/>
    </row>
    <row r="3" spans="1:10" s="79" customFormat="1" ht="32.25" customHeight="1" thickBot="1" x14ac:dyDescent="0.25">
      <c r="A3" s="1528" t="s">
        <v>122</v>
      </c>
      <c r="B3" s="1528"/>
      <c r="C3" s="80" t="s">
        <v>1635</v>
      </c>
      <c r="D3" s="1524"/>
      <c r="E3" s="327"/>
      <c r="F3" s="1524"/>
      <c r="G3" s="327"/>
    </row>
    <row r="4" spans="1:10" s="83" customFormat="1" ht="15.95" customHeight="1" thickBot="1" x14ac:dyDescent="0.3">
      <c r="A4" s="81"/>
      <c r="B4" s="81"/>
      <c r="C4" s="81"/>
      <c r="D4" s="1527"/>
      <c r="E4" s="1527"/>
      <c r="F4" s="1527"/>
      <c r="G4" s="82" t="s">
        <v>79</v>
      </c>
    </row>
    <row r="5" spans="1:10" s="99" customFormat="1" ht="36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10" s="89" customFormat="1" ht="12.95" customHeight="1" thickBot="1" x14ac:dyDescent="0.25">
      <c r="A6" s="1255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10" s="89" customFormat="1" ht="20.25" customHeight="1" thickBot="1" x14ac:dyDescent="0.25">
      <c r="A7" s="328"/>
      <c r="B7" s="329"/>
      <c r="C7" s="329" t="s">
        <v>81</v>
      </c>
      <c r="D7" s="330"/>
      <c r="E7" s="330"/>
      <c r="F7" s="330"/>
      <c r="G7" s="330"/>
      <c r="J7" s="331"/>
    </row>
    <row r="8" spans="1:10" s="96" customFormat="1" ht="15" customHeight="1" thickBot="1" x14ac:dyDescent="0.25">
      <c r="A8" s="1256" t="s">
        <v>2</v>
      </c>
      <c r="B8" s="94"/>
      <c r="C8" s="1142" t="s">
        <v>1774</v>
      </c>
      <c r="D8" s="141">
        <f>SUM(D9:D18)</f>
        <v>0</v>
      </c>
      <c r="E8" s="141">
        <f t="shared" ref="E8:G8" si="0">SUM(E9:E18)</f>
        <v>0</v>
      </c>
      <c r="F8" s="141">
        <f t="shared" si="0"/>
        <v>0</v>
      </c>
      <c r="G8" s="141">
        <f t="shared" si="0"/>
        <v>0</v>
      </c>
      <c r="J8" s="331"/>
    </row>
    <row r="9" spans="1:10" s="96" customFormat="1" ht="15" customHeight="1" x14ac:dyDescent="0.2">
      <c r="A9" s="1257"/>
      <c r="B9" s="98" t="s">
        <v>50</v>
      </c>
      <c r="C9" s="1143" t="s">
        <v>1472</v>
      </c>
      <c r="D9" s="142">
        <f>SUM('4.1 sz. mell'!D9+'---'!D9+'4.2 sz. mell'!D9+'........'!D9+'4.3.sz. mell. '!D9+'4.4 sz. mell.'!D9+'4.5.sz. mell.'!D9)</f>
        <v>0</v>
      </c>
      <c r="E9" s="142">
        <f>SUM('4.1 sz. mell'!E9+'---'!E9+'4.2 sz. mell'!E9+'........'!E9+'4.3.sz. mell. '!E9+'4.4 sz. mell.'!E9+'4.5.sz. mell.'!E9)</f>
        <v>0</v>
      </c>
      <c r="F9" s="142">
        <f>SUM('4.1 sz. mell'!F9+'---'!F9+'4.2 sz. mell'!F9+'........'!F9+'4.3.sz. mell. '!F9+'4.4 sz. mell.'!F9+'4.5.sz. mell.'!F9)</f>
        <v>0</v>
      </c>
      <c r="G9" s="142">
        <f>SUM('4.1 sz. mell'!G9+'---'!G9+'4.2 sz. mell'!G9+'........'!G9+'4.3.sz. mell. '!G9+'4.4 sz. mell.'!G9+'4.5.sz. mell.'!G9)</f>
        <v>0</v>
      </c>
      <c r="J9" s="331"/>
    </row>
    <row r="10" spans="1:10" s="96" customFormat="1" ht="15" customHeight="1" x14ac:dyDescent="0.2">
      <c r="A10" s="97"/>
      <c r="B10" s="98" t="s">
        <v>52</v>
      </c>
      <c r="C10" s="1144" t="s">
        <v>1473</v>
      </c>
      <c r="D10" s="142">
        <f>SUM('4.1 sz. mell'!D10+'---'!D10+'4.2 sz. mell'!D10+'........'!D10+'4.3.sz. mell. '!D10+'4.4 sz. mell.'!D10+'4.5.sz. mell.'!D10)</f>
        <v>0</v>
      </c>
      <c r="E10" s="142">
        <f>SUM('4.1 sz. mell'!E10+'---'!E10+'4.2 sz. mell'!E10+'........'!E10+'4.3.sz. mell. '!E10+'4.4 sz. mell.'!E10+'4.5.sz. mell.'!E10)</f>
        <v>0</v>
      </c>
      <c r="F10" s="142">
        <f>SUM('4.1 sz. mell'!F10+'---'!F10+'4.2 sz. mell'!F10+'........'!F10+'4.3.sz. mell. '!F10+'4.4 sz. mell.'!F10+'4.5.sz. mell.'!F10)</f>
        <v>0</v>
      </c>
      <c r="G10" s="142">
        <f>SUM('4.1 sz. mell'!G10+'---'!G10+'4.2 sz. mell'!G10+'........'!G10+'4.3.sz. mell. '!G10+'4.4 sz. mell.'!G10+'4.5.sz. mell.'!G10)</f>
        <v>0</v>
      </c>
      <c r="J10" s="331"/>
    </row>
    <row r="11" spans="1:10" s="96" customFormat="1" ht="15" customHeight="1" x14ac:dyDescent="0.2">
      <c r="A11" s="97"/>
      <c r="B11" s="98" t="s">
        <v>54</v>
      </c>
      <c r="C11" s="1144" t="s">
        <v>1474</v>
      </c>
      <c r="D11" s="142">
        <f>SUM('4.1 sz. mell'!D11+'---'!D11+'4.2 sz. mell'!D11+'........'!D11+'4.3.sz. mell. '!D11+'4.4 sz. mell.'!D11+'4.5.sz. mell.'!D11)</f>
        <v>0</v>
      </c>
      <c r="E11" s="142">
        <f>SUM('4.1 sz. mell'!E11+'---'!E11+'4.2 sz. mell'!E11+'........'!E11+'4.3.sz. mell. '!E11+'4.4 sz. mell.'!E11+'4.5.sz. mell.'!E11)</f>
        <v>0</v>
      </c>
      <c r="F11" s="142">
        <f>SUM('4.1 sz. mell'!F11+'---'!F11+'4.2 sz. mell'!F11+'........'!F11+'4.3.sz. mell. '!F11+'4.4 sz. mell.'!F11+'4.5.sz. mell.'!F11)</f>
        <v>0</v>
      </c>
      <c r="G11" s="142">
        <f>SUM('4.1 sz. mell'!G11+'---'!G11+'4.2 sz. mell'!G11+'........'!G11+'4.3.sz. mell. '!G11+'4.4 sz. mell.'!G11+'4.5.sz. mell.'!G11)</f>
        <v>0</v>
      </c>
      <c r="J11" s="331"/>
    </row>
    <row r="12" spans="1:10" s="96" customFormat="1" ht="15" customHeight="1" x14ac:dyDescent="0.2">
      <c r="A12" s="97"/>
      <c r="B12" s="98" t="s">
        <v>56</v>
      </c>
      <c r="C12" s="1144" t="s">
        <v>1475</v>
      </c>
      <c r="D12" s="142">
        <f>SUM('4.1 sz. mell'!D12+'---'!D12+'4.2 sz. mell'!D12+'........'!D12+'4.3.sz. mell. '!D12+'4.4 sz. mell.'!D12+'4.5.sz. mell.'!D12)</f>
        <v>0</v>
      </c>
      <c r="E12" s="142">
        <f>SUM('4.1 sz. mell'!E12+'---'!E12+'4.2 sz. mell'!E12+'........'!E12+'4.3.sz. mell. '!E12+'4.4 sz. mell.'!E12+'4.5.sz. mell.'!E12)</f>
        <v>0</v>
      </c>
      <c r="F12" s="142">
        <f>SUM('4.1 sz. mell'!F12+'---'!F12+'4.2 sz. mell'!F12+'........'!F12+'4.3.sz. mell. '!F12+'4.4 sz. mell.'!F12+'4.5.sz. mell.'!F12)</f>
        <v>0</v>
      </c>
      <c r="G12" s="142">
        <f>SUM('4.1 sz. mell'!G12+'---'!G12+'4.2 sz. mell'!G12+'........'!G12+'4.3.sz. mell. '!G12+'4.4 sz. mell.'!G12+'4.5.sz. mell.'!G12)</f>
        <v>0</v>
      </c>
      <c r="J12" s="331"/>
    </row>
    <row r="13" spans="1:10" s="96" customFormat="1" ht="15" customHeight="1" x14ac:dyDescent="0.2">
      <c r="A13" s="97"/>
      <c r="B13" s="98" t="s">
        <v>227</v>
      </c>
      <c r="C13" s="5" t="s">
        <v>1476</v>
      </c>
      <c r="D13" s="142">
        <f>SUM('4.1 sz. mell'!D13+'---'!D13+'4.2 sz. mell'!D13+'........'!D13+'4.3.sz. mell. '!D13+'4.4 sz. mell.'!D13+'4.5.sz. mell.'!D13)</f>
        <v>0</v>
      </c>
      <c r="E13" s="142">
        <f>SUM('4.1 sz. mell'!E13+'---'!E13+'4.2 sz. mell'!E13+'........'!E13+'4.3.sz. mell. '!E13+'4.4 sz. mell.'!E13+'4.5.sz. mell.'!E13)</f>
        <v>0</v>
      </c>
      <c r="F13" s="142">
        <f>SUM('4.1 sz. mell'!F13+'---'!F13+'4.2 sz. mell'!F13+'........'!F13+'4.3.sz. mell. '!F13+'4.4 sz. mell.'!F13+'4.5.sz. mell.'!F13)</f>
        <v>0</v>
      </c>
      <c r="G13" s="142">
        <f>SUM('4.1 sz. mell'!G13+'---'!G13+'4.2 sz. mell'!G13+'........'!G13+'4.3.sz. mell. '!G13+'4.4 sz. mell.'!G13+'4.5.sz. mell.'!G13)</f>
        <v>0</v>
      </c>
    </row>
    <row r="14" spans="1:10" s="96" customFormat="1" ht="15" customHeight="1" x14ac:dyDescent="0.2">
      <c r="A14" s="100"/>
      <c r="B14" s="98" t="s">
        <v>228</v>
      </c>
      <c r="C14" s="1144" t="s">
        <v>1477</v>
      </c>
      <c r="D14" s="142">
        <f>SUM('4.1 sz. mell'!D14+'---'!D14+'4.2 sz. mell'!D14+'........'!D14+'4.3.sz. mell. '!D14+'4.4 sz. mell.'!D14+'4.5.sz. mell.'!D14)</f>
        <v>0</v>
      </c>
      <c r="E14" s="142">
        <f>SUM('4.1 sz. mell'!E14+'---'!E14+'4.2 sz. mell'!E14+'........'!E14+'4.3.sz. mell. '!E14+'4.4 sz. mell.'!E14+'4.5.sz. mell.'!E14)</f>
        <v>0</v>
      </c>
      <c r="F14" s="142">
        <f>SUM('4.1 sz. mell'!F14+'---'!F14+'4.2 sz. mell'!F14+'........'!F14+'4.3.sz. mell. '!F14+'4.4 sz. mell.'!F14+'4.5.sz. mell.'!F14)</f>
        <v>0</v>
      </c>
      <c r="G14" s="142">
        <f>SUM('4.1 sz. mell'!G14+'---'!G14+'4.2 sz. mell'!G14+'........'!G14+'4.3.sz. mell. '!G14+'4.4 sz. mell.'!G14+'4.5.sz. mell.'!G14)</f>
        <v>0</v>
      </c>
      <c r="J14" s="331"/>
    </row>
    <row r="15" spans="1:10" s="99" customFormat="1" ht="15" customHeight="1" x14ac:dyDescent="0.2">
      <c r="A15" s="97"/>
      <c r="B15" s="98" t="s">
        <v>230</v>
      </c>
      <c r="C15" s="1144" t="s">
        <v>1478</v>
      </c>
      <c r="D15" s="142">
        <f>SUM('4.1 sz. mell'!D15+'---'!D15+'4.2 sz. mell'!D15+'........'!D15+'4.3.sz. mell. '!D15+'4.4 sz. mell.'!D15+'4.5.sz. mell.'!D15)</f>
        <v>0</v>
      </c>
      <c r="E15" s="142">
        <f>SUM('4.1 sz. mell'!E15+'---'!E15+'4.2 sz. mell'!E15+'........'!E15+'4.3.sz. mell. '!E15+'4.4 sz. mell.'!E15+'4.5.sz. mell.'!E15)</f>
        <v>0</v>
      </c>
      <c r="F15" s="142">
        <f>SUM('4.1 sz. mell'!F15+'---'!F15+'4.2 sz. mell'!F15+'........'!F15+'4.3.sz. mell. '!F15+'4.4 sz. mell.'!F15+'4.5.sz. mell.'!F15)</f>
        <v>0</v>
      </c>
      <c r="G15" s="142">
        <f>SUM('4.1 sz. mell'!G15+'---'!G15+'4.2 sz. mell'!G15+'........'!G15+'4.3.sz. mell. '!G15+'4.4 sz. mell.'!G15+'4.5.sz. mell.'!G15)</f>
        <v>0</v>
      </c>
      <c r="J15" s="331"/>
    </row>
    <row r="16" spans="1:10" s="99" customFormat="1" ht="15" customHeight="1" x14ac:dyDescent="0.2">
      <c r="A16" s="1214"/>
      <c r="B16" s="105" t="s">
        <v>232</v>
      </c>
      <c r="C16" s="1144" t="s">
        <v>1479</v>
      </c>
      <c r="D16" s="1296"/>
      <c r="E16" s="1296"/>
      <c r="F16" s="1296"/>
      <c r="G16" s="1296"/>
      <c r="J16" s="331"/>
    </row>
    <row r="17" spans="1:10" s="99" customFormat="1" ht="15" customHeight="1" x14ac:dyDescent="0.2">
      <c r="A17" s="1214"/>
      <c r="B17" s="1146" t="s">
        <v>234</v>
      </c>
      <c r="C17" s="1149" t="s">
        <v>1480</v>
      </c>
      <c r="D17" s="1296"/>
      <c r="E17" s="1296"/>
      <c r="F17" s="1296"/>
      <c r="G17" s="1296"/>
      <c r="J17" s="33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2">
        <f>SUM('4.1 sz. mell'!D18+'---'!D16+'4.2 sz. mell'!D18+'........'!D16+'4.3.sz. mell. '!D18+'4.4 sz. mell.'!D18+'4.5.sz. mell.'!D18)</f>
        <v>0</v>
      </c>
      <c r="E18" s="142">
        <f>SUM('4.1 sz. mell'!E18+'---'!E16+'4.2 sz. mell'!E18+'........'!E16+'4.3.sz. mell. '!E18+'4.4 sz. mell.'!E18+'4.5.sz. mell.'!E18)</f>
        <v>0</v>
      </c>
      <c r="F18" s="142">
        <f>SUM('4.1 sz. mell'!F18+'---'!F16+'4.2 sz. mell'!F18+'........'!F16+'4.3.sz. mell. '!F18+'4.4 sz. mell.'!F18+'4.5.sz. mell.'!F18)</f>
        <v>0</v>
      </c>
      <c r="G18" s="142">
        <f>SUM('4.1 sz. mell'!G18+'---'!G16+'4.2 sz. mell'!G18+'........'!G16+'4.3.sz. mell. '!G18+'4.4 sz. mell.'!G18+'4.5.sz. mell.'!G18)</f>
        <v>0</v>
      </c>
      <c r="J18" s="331"/>
    </row>
    <row r="19" spans="1:10" s="96" customFormat="1" ht="30" customHeight="1" thickBot="1" x14ac:dyDescent="0.25">
      <c r="A19" s="1256" t="s">
        <v>3</v>
      </c>
      <c r="B19" s="94"/>
      <c r="C19" s="1142" t="s">
        <v>1482</v>
      </c>
      <c r="D19" s="141">
        <f>SUM(D20:D25)</f>
        <v>54666</v>
      </c>
      <c r="E19" s="141">
        <f t="shared" ref="E19:G19" si="1">SUM(E20:E25)</f>
        <v>110160</v>
      </c>
      <c r="F19" s="141">
        <f>SUM(F20+F24+F25)</f>
        <v>0</v>
      </c>
      <c r="G19" s="141">
        <f t="shared" si="1"/>
        <v>0</v>
      </c>
    </row>
    <row r="20" spans="1:10" s="99" customFormat="1" ht="31.5" customHeight="1" x14ac:dyDescent="0.2">
      <c r="A20" s="97"/>
      <c r="B20" s="98" t="s">
        <v>4</v>
      </c>
      <c r="C20" s="1151" t="s">
        <v>1483</v>
      </c>
      <c r="D20" s="142">
        <f>SUM('4.1 sz. mell'!D20+'---'!D18+'4.2 sz. mell'!D20+'........'!D18+'4.3.sz. mell. '!D20+'4.4 sz. mell.'!D20+'4.5.sz. mell.'!D20+'4.6.sz. mell.'!D20)</f>
        <v>54666</v>
      </c>
      <c r="E20" s="142">
        <f>SUM('4.1 sz. mell'!E20+'---'!E18+'4.2 sz. mell'!E20+'........'!E18+'4.3.sz. mell. '!E20+'4.4 sz. mell.'!E20+'4.5.sz. mell.'!E20+'4.6.sz. mell.'!E20)</f>
        <v>110160</v>
      </c>
      <c r="F20" s="142">
        <f>SUM(F21:F22)</f>
        <v>0</v>
      </c>
      <c r="G20" s="142">
        <f>SUM('4.1 sz. mell'!G20+'---'!G18+'4.2 sz. mell'!G20+'........'!G18+'4.3.sz. mell. '!G20+'4.4 sz. mell.'!G20+'4.5.sz. mell.'!G20+'4.6.sz. mell.'!G20)</f>
        <v>0</v>
      </c>
      <c r="H20" s="96"/>
      <c r="I20" s="96"/>
      <c r="J20" s="96"/>
    </row>
    <row r="21" spans="1:10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  <c r="H21" s="96"/>
      <c r="I21" s="96"/>
      <c r="J21" s="96"/>
    </row>
    <row r="22" spans="1:10" s="99" customFormat="1" ht="30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  <c r="H22" s="96"/>
      <c r="I22" s="96"/>
      <c r="J22" s="96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f>SUM('4.1 sz. mell'!D23+'---'!D19+'4.2 sz. mell'!D23+'........'!D19+'4.3.sz. mell. '!D23+'4.4 sz. mell.'!D23+'4.5.sz. mell.'!D23)</f>
        <v>0</v>
      </c>
      <c r="E23" s="142">
        <f>SUM('4.1 sz. mell'!E23+'---'!E19+'4.2 sz. mell'!E23+'........'!E19+'4.3.sz. mell. '!E23+'4.4 sz. mell.'!E23+'4.5.sz. mell.'!E23)</f>
        <v>0</v>
      </c>
      <c r="F23" s="142">
        <f>SUM('4.1 sz. mell'!F23+'---'!F19+'4.2 sz. mell'!F23+'........'!F19+'4.3.sz. mell. '!F23+'4.4 sz. mell.'!F23+'4.5.sz. mell.'!F23)</f>
        <v>0</v>
      </c>
      <c r="G23" s="142">
        <f>SUM('4.1 sz. mell'!G23+'---'!G19+'4.2 sz. mell'!G23+'........'!G19+'4.3.sz. mell. '!G23+'4.4 sz. mell.'!G23+'4.5.sz. mell.'!G23)</f>
        <v>0</v>
      </c>
      <c r="H23" s="96"/>
      <c r="I23" s="96"/>
      <c r="J23" s="96"/>
    </row>
    <row r="24" spans="1:10" s="99" customFormat="1" ht="15" customHeight="1" x14ac:dyDescent="0.2">
      <c r="A24" s="97"/>
      <c r="B24" s="1148" t="s">
        <v>6</v>
      </c>
      <c r="C24" s="1144" t="s">
        <v>1485</v>
      </c>
      <c r="D24" s="142">
        <f>SUM('4.1 sz. mell'!D24+'---'!D20+'4.2 sz. mell'!D24+'........'!D20+'4.3.sz. mell. '!D24+'4.4 sz. mell.'!D24+'4.5.sz. mell.'!D24)</f>
        <v>0</v>
      </c>
      <c r="E24" s="142">
        <f>SUM('4.1 sz. mell'!E24+'---'!E20+'4.2 sz. mell'!E24+'........'!E20+'4.3.sz. mell. '!E24+'4.4 sz. mell.'!E24+'4.5.sz. mell.'!E24)</f>
        <v>0</v>
      </c>
      <c r="F24" s="142">
        <f>SUM('4.1 sz. mell'!F24+'---'!F20+'4.2 sz. mell'!F24+'........'!F20+'4.3.sz. mell. '!F24+'4.4 sz. mell.'!F24+'4.5.sz. mell.'!F24)</f>
        <v>0</v>
      </c>
      <c r="G24" s="142">
        <f>SUM('4.1 sz. mell'!G24+'---'!G20+'4.2 sz. mell'!G24+'........'!G20+'4.3.sz. mell. '!G24+'4.4 sz. mell.'!G24+'4.5.sz. mell.'!G24)</f>
        <v>0</v>
      </c>
      <c r="H24" s="96"/>
      <c r="I24" s="96"/>
      <c r="J24" s="96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5">
        <f>SUM('4.1 sz. mell'!D25+'---'!D21+'4.2 sz. mell'!D25+'........'!D21+'4.3.sz. mell. '!D25+'4.4 sz. mell.'!D25+'4.5.sz. mell.'!D25)</f>
        <v>0</v>
      </c>
      <c r="E25" s="145">
        <f>SUM('4.1 sz. mell'!E25+'---'!E21+'4.2 sz. mell'!E25+'........'!E21+'4.3.sz. mell. '!E25+'4.4 sz. mell.'!E25+'4.5.sz. mell.'!E25)</f>
        <v>0</v>
      </c>
      <c r="F25" s="145">
        <f>SUM('4.1 sz. mell'!F25+'---'!F21+'4.2 sz. mell'!F25+'........'!F21+'4.3.sz. mell. '!F25+'4.4 sz. mell.'!F25+'4.5.sz. mell.'!F25)</f>
        <v>0</v>
      </c>
      <c r="G25" s="145">
        <f>SUM('4.1 sz. mell'!G25+'---'!G21+'4.2 sz. mell'!G25+'........'!G21+'4.3.sz. mell. '!G25+'4.4 sz. mell.'!G25+'4.5.sz. mell.'!G25)</f>
        <v>0</v>
      </c>
      <c r="H25" s="96"/>
      <c r="I25" s="96"/>
      <c r="J25" s="96"/>
    </row>
    <row r="26" spans="1:10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  <c r="H26" s="96"/>
      <c r="I26" s="96"/>
      <c r="J26" s="96"/>
    </row>
    <row r="27" spans="1:10" s="99" customFormat="1" ht="30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  <c r="H27" s="96"/>
      <c r="I27" s="96"/>
      <c r="J27" s="96"/>
    </row>
    <row r="28" spans="1:10" s="99" customFormat="1" ht="15" customHeight="1" thickBot="1" x14ac:dyDescent="0.25">
      <c r="A28" s="1256" t="s">
        <v>68</v>
      </c>
      <c r="B28" s="94"/>
      <c r="C28" s="1156" t="s">
        <v>1505</v>
      </c>
      <c r="D28" s="332">
        <f>SUM('4.1 sz. mell'!D28+'---'!D22+'4.2 sz. mell'!D28+'........'!D22+'4.3.sz. mell. '!D28+'4.4 sz. mell.'!D28+'4.5.sz. mell.'!D28)</f>
        <v>0</v>
      </c>
      <c r="E28" s="332">
        <f>SUM('4.1 sz. mell'!E28+'---'!E22+'4.2 sz. mell'!E28+'........'!E22+'4.3.sz. mell. '!E28+'4.4 sz. mell.'!E28+'4.5.sz. mell.'!E28)</f>
        <v>0</v>
      </c>
      <c r="F28" s="332">
        <f>SUM('4.1 sz. mell'!F28+'---'!F22+'4.2 sz. mell'!F28+'........'!F22+'4.3.sz. mell. '!F28+'4.4 sz. mell.'!F28+'4.5.sz. mell.'!F28)</f>
        <v>0</v>
      </c>
      <c r="G28" s="332">
        <f>SUM('4.1 sz. mell'!G28+'---'!G22+'4.2 sz. mell'!G28+'........'!G22+'4.3.sz. mell. '!G28+'4.4 sz. mell.'!G28+'4.5.sz. mell.'!G28)</f>
        <v>0</v>
      </c>
      <c r="H28" s="96"/>
      <c r="I28" s="96"/>
      <c r="J28" s="96"/>
    </row>
    <row r="29" spans="1:10" s="99" customFormat="1" ht="15" customHeight="1" thickBot="1" x14ac:dyDescent="0.25">
      <c r="A29" s="97"/>
      <c r="B29" s="1160" t="s">
        <v>133</v>
      </c>
      <c r="C29" s="1144" t="s">
        <v>1489</v>
      </c>
      <c r="D29" s="1312"/>
      <c r="E29" s="1312"/>
      <c r="F29" s="1312"/>
      <c r="G29" s="1312"/>
      <c r="H29" s="96"/>
      <c r="I29" s="96"/>
      <c r="J29" s="96"/>
    </row>
    <row r="30" spans="1:10" s="99" customFormat="1" ht="15" customHeight="1" thickBot="1" x14ac:dyDescent="0.25">
      <c r="A30" s="97"/>
      <c r="B30" s="1160" t="s">
        <v>983</v>
      </c>
      <c r="C30" s="1144" t="s">
        <v>1490</v>
      </c>
      <c r="D30" s="1312"/>
      <c r="E30" s="1312"/>
      <c r="F30" s="1312"/>
      <c r="G30" s="1312"/>
      <c r="H30" s="96"/>
      <c r="I30" s="96"/>
      <c r="J30" s="96"/>
    </row>
    <row r="31" spans="1:10" s="99" customFormat="1" ht="15" customHeight="1" thickBot="1" x14ac:dyDescent="0.25">
      <c r="A31" s="97"/>
      <c r="B31" s="1160" t="s">
        <v>149</v>
      </c>
      <c r="C31" s="1144" t="s">
        <v>1491</v>
      </c>
      <c r="D31" s="1312"/>
      <c r="E31" s="1312"/>
      <c r="F31" s="1312"/>
      <c r="G31" s="1312"/>
      <c r="H31" s="96"/>
      <c r="I31" s="96"/>
      <c r="J31" s="96"/>
    </row>
    <row r="32" spans="1:10" s="99" customFormat="1" ht="30" customHeight="1" thickBot="1" x14ac:dyDescent="0.25">
      <c r="A32" s="1256">
        <v>5</v>
      </c>
      <c r="B32" s="1161"/>
      <c r="C32" s="1156" t="s">
        <v>1506</v>
      </c>
      <c r="D32" s="119">
        <f>SUM('4.1 sz. mell'!D32+'---'!D23+'4.2 sz. mell'!D32+'........'!D23+'4.3.sz. mell. '!D32+'4.4 sz. mell.'!D31+'4.5.sz. mell.'!D31)</f>
        <v>0</v>
      </c>
      <c r="E32" s="119">
        <f>SUM('4.1 sz. mell'!E32+'---'!E23+'4.2 sz. mell'!E32+'........'!E23+'4.3.sz. mell. '!E32+'4.4 sz. mell.'!E31+'4.5.sz. mell.'!E31)</f>
        <v>0</v>
      </c>
      <c r="F32" s="119">
        <f>SUM('4.1 sz. mell'!F32+'---'!F23+'4.2 sz. mell'!F32+'........'!F23+'4.3.sz. mell. '!F32+'4.4 sz. mell.'!F31+'4.5.sz. mell.'!F31)</f>
        <v>0</v>
      </c>
      <c r="G32" s="119">
        <f>SUM('4.1 sz. mell'!G32+'---'!G23+'4.2 sz. mell'!G32+'........'!G23+'4.3.sz. mell. '!G32+'4.4 sz. mell.'!G31+'4.5.sz. mell.'!G31)</f>
        <v>0</v>
      </c>
      <c r="H32" s="96"/>
      <c r="I32" s="96"/>
      <c r="J32" s="96"/>
    </row>
    <row r="33" spans="1:10" s="99" customFormat="1" ht="30.75" customHeight="1" thickBot="1" x14ac:dyDescent="0.25">
      <c r="A33" s="1216"/>
      <c r="B33" s="1162" t="s">
        <v>28</v>
      </c>
      <c r="C33" s="1151" t="s">
        <v>1492</v>
      </c>
      <c r="D33" s="1224"/>
      <c r="E33" s="1224"/>
      <c r="F33" s="1224"/>
      <c r="G33" s="1224"/>
      <c r="H33" s="96"/>
      <c r="I33" s="96"/>
      <c r="J33" s="96"/>
    </row>
    <row r="34" spans="1:10" s="99" customFormat="1" ht="15" customHeight="1" thickBot="1" x14ac:dyDescent="0.3">
      <c r="A34" s="1216" t="s">
        <v>32</v>
      </c>
      <c r="B34" s="117"/>
      <c r="C34" s="1142" t="s">
        <v>1493</v>
      </c>
      <c r="D34" s="1224"/>
      <c r="E34" s="1224"/>
      <c r="F34" s="1224"/>
      <c r="G34" s="1224"/>
      <c r="H34" s="96"/>
      <c r="I34" s="96"/>
      <c r="J34" s="96"/>
    </row>
    <row r="35" spans="1:10" s="96" customFormat="1" ht="30.75" customHeight="1" thickBot="1" x14ac:dyDescent="0.25">
      <c r="A35" s="1216"/>
      <c r="B35" s="1164" t="s">
        <v>33</v>
      </c>
      <c r="C35" s="1144" t="s">
        <v>1494</v>
      </c>
      <c r="D35" s="119">
        <f>SUM('4.1 sz. mell'!D36+'---'!D24+'4.2 sz. mell'!D33+'........'!D24+'4.3.sz. mell. '!D33+'4.4 sz. mell.'!D32+'4.5.sz. mell.'!D32)</f>
        <v>0</v>
      </c>
      <c r="E35" s="119">
        <f>SUM('4.1 sz. mell'!E36+'---'!E24+'4.2 sz. mell'!E33+'........'!E24+'4.3.sz. mell. '!E33+'4.4 sz. mell.'!E32+'4.5.sz. mell.'!E32)</f>
        <v>0</v>
      </c>
      <c r="F35" s="119">
        <f>SUM('4.1 sz. mell'!F36+'---'!F24+'4.2 sz. mell'!F33+'........'!F24+'4.3.sz. mell. '!F33+'4.4 sz. mell.'!F32+'4.5.sz. mell.'!F32)</f>
        <v>0</v>
      </c>
      <c r="G35" s="119">
        <f>SUM('4.1 sz. mell'!G36+'---'!G24+'4.2 sz. mell'!G33+'........'!G24+'4.3.sz. mell. '!G33+'4.4 sz. mell.'!G32+'4.5.sz. mell.'!G32)</f>
        <v>0</v>
      </c>
    </row>
    <row r="36" spans="1:10" s="96" customFormat="1" ht="15" customHeight="1" thickBot="1" x14ac:dyDescent="0.3">
      <c r="A36" s="1256" t="s">
        <v>74</v>
      </c>
      <c r="B36" s="117"/>
      <c r="C36" s="1156" t="s">
        <v>1495</v>
      </c>
      <c r="D36" s="333">
        <f>+D37+D38</f>
        <v>0</v>
      </c>
      <c r="E36" s="333">
        <f t="shared" ref="E36:G36" si="2">+E37+E38</f>
        <v>2614</v>
      </c>
      <c r="F36" s="333">
        <f>+F37+F38+F39</f>
        <v>449998</v>
      </c>
      <c r="G36" s="333">
        <f t="shared" si="2"/>
        <v>0</v>
      </c>
    </row>
    <row r="37" spans="1:10" s="96" customFormat="1" ht="15" customHeight="1" x14ac:dyDescent="0.2">
      <c r="A37" s="1257"/>
      <c r="B37" s="1160" t="s">
        <v>36</v>
      </c>
      <c r="C37" s="1144" t="s">
        <v>1496</v>
      </c>
      <c r="D37" s="142">
        <f>SUM('4.1 sz. mell'!D38+'---'!D26+'4.2 sz. mell'!D37+'........'!D26+'4.3.sz. mell. '!D37+'4.4 sz. mell.'!D37+'4.5.sz. mell.'!D38)</f>
        <v>0</v>
      </c>
      <c r="E37" s="142">
        <f>SUM('4.1 sz. mell'!E38+'---'!E26+'4.2 sz. mell'!E37+'........'!E26+'4.3.sz. mell. '!E37+'4.4 sz. mell.'!E37+'4.5.sz. mell.'!E38)</f>
        <v>2614</v>
      </c>
      <c r="F37" s="142">
        <f>SUM('4.1 sz. mell'!F38+'---'!F26+'4.2 sz. mell'!F37+'........'!F26+'4.3.sz. mell. '!F37+'4.4 sz. mell.'!F37+'4.5.sz. mell.'!F38)</f>
        <v>0</v>
      </c>
      <c r="G37" s="142">
        <f>SUM('4.1 sz. mell'!G38+'---'!G26+'4.2 sz. mell'!G37+'........'!G26+'4.3.sz. mell. '!G37+'4.4 sz. mell.'!G37+'4.5.sz. mell.'!G38)</f>
        <v>0</v>
      </c>
    </row>
    <row r="38" spans="1:10" s="96" customFormat="1" ht="15" customHeight="1" thickBot="1" x14ac:dyDescent="0.25">
      <c r="A38" s="1258"/>
      <c r="B38" s="1160" t="s">
        <v>37</v>
      </c>
      <c r="C38" s="1144" t="s">
        <v>1497</v>
      </c>
      <c r="D38" s="145">
        <f>SUM('4.1 sz. mell'!D39+'---'!D27+'4.2 sz. mell'!D38+'........'!D27+'4.3.sz. mell. '!D38+'4.4 sz. mell.'!D38+'4.5.sz. mell.'!D39)</f>
        <v>0</v>
      </c>
      <c r="E38" s="145">
        <f>SUM('4.1 sz. mell'!E39+'---'!E27+'4.2 sz. mell'!E38+'........'!E27+'4.3.sz. mell. '!E38+'4.4 sz. mell.'!E38+'4.5.sz. mell.'!E39)</f>
        <v>0</v>
      </c>
      <c r="F38" s="145">
        <f>SUM('4.1 sz. mell'!F39+'---'!F27+'4.2 sz. mell'!F38+'........'!F27+'4.3.sz. mell. '!F38+'4.4 sz. mell.'!F38+'4.5.sz. mell.'!F39)</f>
        <v>0</v>
      </c>
      <c r="G38" s="145">
        <f>SUM('4.1 sz. mell'!G39+'---'!G27+'4.2 sz. mell'!G38+'........'!G27+'4.3.sz. mell. '!G38+'4.4 sz. mell.'!G38+'4.5.sz. mell.'!G39)</f>
        <v>0</v>
      </c>
    </row>
    <row r="39" spans="1:10" s="99" customFormat="1" ht="15" customHeight="1" thickBot="1" x14ac:dyDescent="0.25">
      <c r="A39" s="116"/>
      <c r="B39" s="1160" t="s">
        <v>1499</v>
      </c>
      <c r="C39" s="1144" t="s">
        <v>1498</v>
      </c>
      <c r="D39" s="145">
        <f>'4.1 sz. mell'!D40+'---'!D28+'4.2 sz. mell'!D39+'........'!D28+'4.3.sz. mell. '!D39+'4.4 sz. mell.'!D39+'4.5.sz. mell.'!D40+'4.6.sz. mell.'!D39</f>
        <v>548607</v>
      </c>
      <c r="E39" s="145">
        <f>'4.1 sz. mell'!E40+'---'!E28+'4.2 sz. mell'!E39+'........'!E28+'4.3.sz. mell. '!E39+'4.4 sz. mell.'!E39+'4.5.sz. mell.'!E40+'4.6.sz. mell.'!E39</f>
        <v>627509</v>
      </c>
      <c r="F39" s="145">
        <v>449998</v>
      </c>
      <c r="G39" s="36">
        <f t="shared" ref="G39:G41" si="3">SUM(F39/E39)*100</f>
        <v>71.711800149479927</v>
      </c>
      <c r="H39" s="96"/>
      <c r="I39" s="674">
        <f>SUM(F59-F41)</f>
        <v>0</v>
      </c>
      <c r="J39" s="96"/>
    </row>
    <row r="40" spans="1:10" s="99" customFormat="1" ht="15" hidden="1" customHeight="1" thickBot="1" x14ac:dyDescent="0.3">
      <c r="A40" s="116"/>
      <c r="B40" s="117"/>
      <c r="C40" s="2"/>
      <c r="D40" s="119"/>
      <c r="E40" s="119"/>
      <c r="F40" s="119">
        <f>'4.1 sz. mell'!F43</f>
        <v>0</v>
      </c>
      <c r="G40" s="36"/>
      <c r="I40" s="110"/>
    </row>
    <row r="41" spans="1:10" s="99" customFormat="1" ht="18" customHeight="1" thickBot="1" x14ac:dyDescent="0.3">
      <c r="A41" s="150" t="s">
        <v>38</v>
      </c>
      <c r="B41" s="334"/>
      <c r="C41" s="335" t="s">
        <v>510</v>
      </c>
      <c r="D41" s="152">
        <f>SUM(D8,D19,D28,D32,D35,D36,D39)</f>
        <v>603273</v>
      </c>
      <c r="E41" s="152">
        <f t="shared" ref="E41" si="4">SUM(E8,E19,E28,E32,E35,E36,E39)</f>
        <v>740283</v>
      </c>
      <c r="F41" s="152">
        <f>SUM(F36+F34+F32+F28+F26+F19+F8)</f>
        <v>449998</v>
      </c>
      <c r="G41" s="36">
        <f t="shared" si="3"/>
        <v>60.787293508023289</v>
      </c>
      <c r="J41" s="110">
        <f>SUM(F59-F41)</f>
        <v>0</v>
      </c>
    </row>
    <row r="42" spans="1:10" s="99" customFormat="1" ht="15" customHeight="1" thickBot="1" x14ac:dyDescent="0.25">
      <c r="A42" s="336"/>
      <c r="B42" s="153"/>
      <c r="C42" s="154"/>
      <c r="D42" s="155"/>
      <c r="E42" s="155"/>
      <c r="F42" s="155"/>
      <c r="G42" s="155"/>
    </row>
    <row r="43" spans="1:10" s="89" customFormat="1" ht="21" customHeight="1" thickBot="1" x14ac:dyDescent="0.25">
      <c r="A43" s="328"/>
      <c r="B43" s="329"/>
      <c r="C43" s="329" t="s">
        <v>82</v>
      </c>
      <c r="D43" s="330"/>
      <c r="E43" s="330"/>
      <c r="F43" s="330"/>
      <c r="G43" s="330"/>
    </row>
    <row r="44" spans="1:10" s="125" customFormat="1" ht="15" customHeight="1" thickBot="1" x14ac:dyDescent="0.25">
      <c r="A44" s="1256" t="s">
        <v>2</v>
      </c>
      <c r="B44" s="2"/>
      <c r="C44" s="10" t="s">
        <v>49</v>
      </c>
      <c r="D44" s="36">
        <f>SUM(D45:D49)</f>
        <v>578773</v>
      </c>
      <c r="E44" s="36">
        <f t="shared" ref="E44:F44" si="5">SUM(E45:E49)</f>
        <v>721643</v>
      </c>
      <c r="F44" s="36">
        <f t="shared" si="5"/>
        <v>449998</v>
      </c>
      <c r="G44" s="36"/>
    </row>
    <row r="45" spans="1:10" ht="15" customHeight="1" thickBot="1" x14ac:dyDescent="0.25">
      <c r="A45" s="113"/>
      <c r="B45" s="124" t="s">
        <v>50</v>
      </c>
      <c r="C45" s="7" t="s">
        <v>51</v>
      </c>
      <c r="D45" s="142">
        <f>SUM('4.1 sz. mell'!D48+'---'!D34+'4.2 sz. mell'!D45+'........'!D34+'4.3.sz. mell. '!D45+'4.4 sz. mell.'!D46+'4.5.sz. mell.'!D46+'4.6.sz. mell.'!D46)</f>
        <v>347693</v>
      </c>
      <c r="E45" s="142">
        <f>SUM('4.1 sz. mell'!E48+'---'!E34+'4.2 sz. mell'!E45+'........'!E34+'4.3.sz. mell. '!E45+'4.4 sz. mell.'!E46+'4.5.sz. mell.'!E46+'4.6.sz. mell.'!E46)</f>
        <v>416122</v>
      </c>
      <c r="F45" s="142">
        <v>322310</v>
      </c>
      <c r="G45" s="36"/>
    </row>
    <row r="46" spans="1:10" ht="15" customHeight="1" thickBot="1" x14ac:dyDescent="0.25">
      <c r="A46" s="97"/>
      <c r="B46" s="109" t="s">
        <v>52</v>
      </c>
      <c r="C46" s="3" t="s">
        <v>53</v>
      </c>
      <c r="D46" s="142">
        <f>SUM('4.1 sz. mell'!D49+'---'!D35+'4.2 sz. mell'!D46+'........'!D35+'4.3.sz. mell. '!D46+'4.4 sz. mell.'!D47+'4.5.sz. mell.'!D47+'4.6.sz. mell.'!D47)</f>
        <v>91754</v>
      </c>
      <c r="E46" s="142">
        <f>SUM('4.1 sz. mell'!E49+'---'!E35+'4.2 sz. mell'!E46+'........'!E35+'4.3.sz. mell. '!E46+'4.4 sz. mell.'!E47+'4.5.sz. mell.'!E47+'4.6.sz. mell.'!E47)</f>
        <v>110108</v>
      </c>
      <c r="F46" s="142">
        <v>89263</v>
      </c>
      <c r="G46" s="36"/>
    </row>
    <row r="47" spans="1:10" ht="15" customHeight="1" thickBot="1" x14ac:dyDescent="0.25">
      <c r="A47" s="97"/>
      <c r="B47" s="109" t="s">
        <v>54</v>
      </c>
      <c r="C47" s="3" t="s">
        <v>55</v>
      </c>
      <c r="D47" s="142">
        <f>SUM('4.1 sz. mell'!D50+'---'!D36+'4.2 sz. mell'!D47+'........'!D36+'4.3.sz. mell. '!D47+'4.4 sz. mell.'!D48+'4.5.sz. mell.'!D48+'4.6.sz. mell.'!D48)</f>
        <v>116326</v>
      </c>
      <c r="E47" s="142">
        <f>SUM('4.1 sz. mell'!E50+'---'!E36+'4.2 sz. mell'!E47+'........'!E36+'4.3.sz. mell. '!E47+'4.4 sz. mell.'!E48+'4.5.sz. mell.'!E48+'4.6.sz. mell.'!E48)</f>
        <v>122607</v>
      </c>
      <c r="F47" s="142">
        <v>15425</v>
      </c>
      <c r="G47" s="36"/>
    </row>
    <row r="48" spans="1:10" ht="15" customHeight="1" thickBot="1" x14ac:dyDescent="0.25">
      <c r="A48" s="97"/>
      <c r="B48" s="109" t="s">
        <v>56</v>
      </c>
      <c r="C48" s="3" t="s">
        <v>57</v>
      </c>
      <c r="D48" s="142">
        <f>SUM('4.1 sz. mell'!D51+'---'!D37+'4.2 sz. mell'!D48+'........'!D37+'4.3.sz. mell. '!D48+'4.4 sz. mell.'!D49+'4.5.sz. mell.'!D49+'4.6.sz. mell.'!D49)</f>
        <v>23000</v>
      </c>
      <c r="E48" s="142">
        <f>SUM('4.1 sz. mell'!E51+'---'!E37+'4.2 sz. mell'!E48+'........'!E37+'4.3.sz. mell. '!E48+'4.4 sz. mell.'!E49+'4.5.sz. mell.'!E49+'4.6.sz. mell.'!E49)</f>
        <v>72806</v>
      </c>
      <c r="F48" s="142">
        <v>23000</v>
      </c>
      <c r="G48" s="36"/>
    </row>
    <row r="49" spans="1:7" ht="15" customHeight="1" thickBot="1" x14ac:dyDescent="0.25">
      <c r="A49" s="97"/>
      <c r="B49" s="109" t="s">
        <v>58</v>
      </c>
      <c r="C49" s="3" t="s">
        <v>59</v>
      </c>
      <c r="D49" s="142">
        <f>SUM('4.1 sz. mell'!D52+'---'!D38+'4.2 sz. mell'!D49+'........'!D38+'4.3.sz. mell. '!D49+'4.4 sz. mell.'!D50+'4.5.sz. mell.'!D50+'4.6.sz. mell.'!D50)</f>
        <v>0</v>
      </c>
      <c r="E49" s="142">
        <f>SUM('4.1 sz. mell'!E52+'---'!E38+'4.2 sz. mell'!E49+'........'!E38+'4.3.sz. mell. '!E49+'4.4 sz. mell.'!E50+'4.5.sz. mell.'!E50+'4.6.sz. mell.'!E50)</f>
        <v>0</v>
      </c>
      <c r="F49" s="142">
        <f>SUM('4.1 sz. mell'!F52+'---'!F38+'4.2 sz. mell'!F49+'........'!F38+'4.3.sz. mell. '!F49+'4.4 sz. mell.'!F50+'4.5.sz. mell.'!F50+'4.6.sz. mell.'!F50)</f>
        <v>0</v>
      </c>
      <c r="G49" s="36"/>
    </row>
    <row r="50" spans="1:7" ht="15" hidden="1" customHeight="1" thickBot="1" x14ac:dyDescent="0.25">
      <c r="A50" s="97"/>
      <c r="B50" s="98"/>
      <c r="C50" s="3"/>
      <c r="D50" s="142"/>
      <c r="E50" s="142"/>
      <c r="F50" s="142"/>
      <c r="G50" s="36"/>
    </row>
    <row r="51" spans="1:7" ht="15" hidden="1" customHeight="1" thickBot="1" x14ac:dyDescent="0.25">
      <c r="A51" s="97"/>
      <c r="B51" s="98"/>
      <c r="C51" s="3"/>
      <c r="D51" s="142"/>
      <c r="E51" s="142"/>
      <c r="F51" s="142"/>
      <c r="G51" s="36"/>
    </row>
    <row r="52" spans="1:7" ht="18.75" customHeight="1" thickBot="1" x14ac:dyDescent="0.25">
      <c r="A52" s="1256" t="s">
        <v>3</v>
      </c>
      <c r="B52" s="2"/>
      <c r="C52" s="10" t="s">
        <v>1513</v>
      </c>
      <c r="D52" s="337" t="e">
        <f>SUM(D53:D56)</f>
        <v>#REF!</v>
      </c>
      <c r="E52" s="337" t="e">
        <f t="shared" ref="E52" si="6">SUM(E53:E56)</f>
        <v>#REF!</v>
      </c>
      <c r="F52" s="337">
        <f>SUM(F53:F56)</f>
        <v>0</v>
      </c>
      <c r="G52" s="36" t="e">
        <f t="shared" ref="G52:G59" si="7">SUM(F52/E52)*100</f>
        <v>#REF!</v>
      </c>
    </row>
    <row r="53" spans="1:7" s="125" customFormat="1" ht="15" customHeight="1" thickBot="1" x14ac:dyDescent="0.25">
      <c r="A53" s="113"/>
      <c r="B53" s="1165" t="s">
        <v>4</v>
      </c>
      <c r="C53" s="1151" t="s">
        <v>1173</v>
      </c>
      <c r="D53" s="142">
        <f>SUM('6.2.sz.mell.'!H105)</f>
        <v>0</v>
      </c>
      <c r="E53" s="142">
        <f>'4.1 sz. mell'!E54</f>
        <v>17440</v>
      </c>
      <c r="F53" s="142">
        <f>'4.1 sz. mell'!F54</f>
        <v>0</v>
      </c>
      <c r="G53" s="36">
        <f t="shared" si="7"/>
        <v>0</v>
      </c>
    </row>
    <row r="54" spans="1:7" ht="15" customHeight="1" thickBot="1" x14ac:dyDescent="0.25">
      <c r="A54" s="97"/>
      <c r="B54" s="1166" t="s">
        <v>6</v>
      </c>
      <c r="C54" s="1144" t="s">
        <v>64</v>
      </c>
      <c r="D54" s="142"/>
      <c r="E54" s="142"/>
      <c r="F54" s="142"/>
      <c r="G54" s="36"/>
    </row>
    <row r="55" spans="1:7" ht="17.25" customHeight="1" thickBot="1" x14ac:dyDescent="0.25">
      <c r="A55" s="97"/>
      <c r="B55" s="1166" t="s">
        <v>7</v>
      </c>
      <c r="C55" s="1144" t="s">
        <v>1500</v>
      </c>
      <c r="D55" s="142">
        <f>SUM('4.1 sz. mell'!D56+'---'!D42+'4.2 sz. mell'!D53+'........'!D42+'4.3.sz. mell. '!D53+'4.4 sz. mell.'!D54+'4.5.sz. mell.'!D54)</f>
        <v>0</v>
      </c>
      <c r="E55" s="142">
        <f>SUM('4.1 sz. mell'!E56+'---'!E42+'4.2 sz. mell'!E53+'........'!E42+'4.3.sz. mell. '!E53+'4.4 sz. mell.'!E54+'4.5.sz. mell.'!E54)</f>
        <v>0</v>
      </c>
      <c r="F55" s="142">
        <f>SUM('4.1 sz. mell'!F56+'---'!F42+'4.2 sz. mell'!F53+'........'!F42+'4.3.sz. mell. '!F53+'4.4 sz. mell.'!F54+'4.5.sz. mell.'!F54)</f>
        <v>0</v>
      </c>
      <c r="G55" s="36"/>
    </row>
    <row r="56" spans="1:7" ht="15" hidden="1" customHeight="1" thickBot="1" x14ac:dyDescent="0.25">
      <c r="A56" s="97"/>
      <c r="B56" s="98" t="s">
        <v>11</v>
      </c>
      <c r="C56" s="3" t="s">
        <v>513</v>
      </c>
      <c r="D56" s="142" t="e">
        <f>SUM('4.1 sz. mell'!#REF!+'---'!D43+'4.2 sz. mell'!D54+'........'!D43+'4.3.sz. mell. '!D54+'4.4 sz. mell.'!D55+'4.5.sz. mell.'!D55)</f>
        <v>#REF!</v>
      </c>
      <c r="E56" s="142" t="e">
        <f>SUM('4.1 sz. mell'!#REF!+'---'!E43+'4.2 sz. mell'!E54+'........'!E43+'4.3.sz. mell. '!E54+'4.4 sz. mell.'!E55+'4.5.sz. mell.'!E55)</f>
        <v>#REF!</v>
      </c>
      <c r="F56" s="142"/>
      <c r="G56" s="36"/>
    </row>
    <row r="57" spans="1:7" ht="15" customHeight="1" thickBot="1" x14ac:dyDescent="0.25">
      <c r="A57" s="114" t="s">
        <v>12</v>
      </c>
      <c r="B57" s="338"/>
      <c r="C57" s="339" t="s">
        <v>514</v>
      </c>
      <c r="D57" s="145">
        <f>SUM('4.1 sz. mell'!D57+'---'!D44+'4.2 sz. mell'!D55+'........'!D44+'4.3.sz. mell. '!D55+'4.4 sz. mell.'!D56+'4.5.sz. mell.'!D56)</f>
        <v>0</v>
      </c>
      <c r="E57" s="145">
        <f>SUM('4.1 sz. mell'!E57+'---'!E44+'4.2 sz. mell'!E55+'........'!E44+'4.3.sz. mell. '!E55+'4.4 sz. mell.'!E56+'4.5.sz. mell.'!E56)</f>
        <v>1200</v>
      </c>
      <c r="F57" s="145">
        <f>SUM('4.1 sz. mell'!F57+'---'!F44+'4.2 sz. mell'!F55+'........'!F44+'4.3.sz. mell. '!F55+'4.4 sz. mell.'!F56+'4.5.sz. mell.'!F56)</f>
        <v>0</v>
      </c>
      <c r="G57" s="36"/>
    </row>
    <row r="58" spans="1:7" s="99" customFormat="1" ht="15" customHeight="1" thickBot="1" x14ac:dyDescent="0.25">
      <c r="A58" s="1256"/>
      <c r="B58" s="2"/>
      <c r="C58" s="10"/>
      <c r="D58" s="119"/>
      <c r="E58" s="119"/>
      <c r="F58" s="119">
        <f>'4.1 sz. mell'!F58</f>
        <v>0</v>
      </c>
      <c r="G58" s="36"/>
    </row>
    <row r="59" spans="1:7" ht="19.5" customHeight="1" thickBot="1" x14ac:dyDescent="0.3">
      <c r="A59" s="150" t="s">
        <v>68</v>
      </c>
      <c r="B59" s="151"/>
      <c r="C59" s="335" t="s">
        <v>516</v>
      </c>
      <c r="D59" s="340" t="e">
        <f>+D44+D52+D57</f>
        <v>#REF!</v>
      </c>
      <c r="E59" s="340" t="e">
        <f t="shared" ref="E59" si="8">+E44+E52+E57</f>
        <v>#REF!</v>
      </c>
      <c r="F59" s="340">
        <f>+F44+F52+F57+F58</f>
        <v>449998</v>
      </c>
      <c r="G59" s="36" t="e">
        <f t="shared" si="7"/>
        <v>#REF!</v>
      </c>
    </row>
    <row r="60" spans="1:7" ht="15" customHeight="1" thickBot="1" x14ac:dyDescent="0.25">
      <c r="A60" s="165"/>
      <c r="B60" s="166"/>
      <c r="C60" s="166"/>
      <c r="D60" s="132"/>
      <c r="E60" s="132"/>
      <c r="F60" s="132"/>
      <c r="G60" s="36"/>
    </row>
    <row r="61" spans="1:7" ht="15" customHeight="1" thickBot="1" x14ac:dyDescent="0.25">
      <c r="A61" s="1551" t="s">
        <v>136</v>
      </c>
      <c r="B61" s="1551"/>
      <c r="C61" s="1551"/>
      <c r="D61" s="341">
        <f>SUM('4.1 sz. mell'!D61+'---'!D48+'4.2 sz. mell'!D59+'........'!D48+'4.3.sz. mell. '!D59+'4.4 sz. mell.'!D60+'4.5.sz. mell.'!D60+'4.6.sz. mell.'!D60)</f>
        <v>104</v>
      </c>
      <c r="E61" s="341">
        <v>104</v>
      </c>
      <c r="F61" s="341">
        <v>93</v>
      </c>
      <c r="G61" s="341">
        <f>SUM('4.1 sz. mell'!G61+'---'!G48+'4.2 sz. mell'!G59+'........'!G48+'4.3.sz. mell. '!G59+'4.4 sz. mell.'!G60+'4.5.sz. mell.'!G60+'4.6.sz. mell.'!G60)</f>
        <v>0</v>
      </c>
    </row>
    <row r="62" spans="1:7" ht="15" customHeight="1" thickBot="1" x14ac:dyDescent="0.25">
      <c r="A62" s="1551" t="s">
        <v>137</v>
      </c>
      <c r="B62" s="1551"/>
      <c r="C62" s="1551"/>
      <c r="D62" s="119">
        <f>SUM('4.1 sz. mell'!D62+'---'!D49+'4.2 sz. mell'!D60+'........'!D49+'4.3.sz. mell. '!D60+'4.4 sz. mell.'!D61+'4.5.sz. mell.'!D61)</f>
        <v>0</v>
      </c>
      <c r="E62" s="119">
        <f>SUM('4.1 sz. mell'!E62+'---'!E49+'4.2 sz. mell'!E60+'........'!E49+'4.3.sz. mell. '!E60+'4.4 sz. mell.'!E61+'4.5.sz. mell.'!E61)</f>
        <v>0</v>
      </c>
      <c r="F62" s="119">
        <f>SUM('4.1 sz. mell'!F62+'---'!F49+'4.2 sz. mell'!F60+'........'!F49+'4.3.sz. mell. '!F60+'4.4 sz. mell.'!F61+'4.5.sz. mell.'!F61)</f>
        <v>0</v>
      </c>
      <c r="G62" s="119">
        <f>SUM('4.1 sz. mell'!G62+'---'!G49+'4.2 sz. mell'!G60+'........'!G49+'4.3.sz. mell. '!G60+'4.4 sz. mell.'!G61+'4.5.sz. mell.'!G61)</f>
        <v>0</v>
      </c>
    </row>
  </sheetData>
  <sheetProtection selectLockedCells="1" selectUnlockedCells="1"/>
  <mergeCells count="9">
    <mergeCell ref="A5:B5"/>
    <mergeCell ref="A61:C61"/>
    <mergeCell ref="A62:C62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3622047244094491" top="0.31496062992125984" bottom="0.47244094488188981" header="0.19685039370078741" footer="0.23622047244094491"/>
  <pageSetup paperSize="9" scale="70" firstPageNumber="61" orientation="portrait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view="pageBreakPreview" zoomScaleSheetLayoutView="100" workbookViewId="0">
      <selection activeCell="D1" sqref="D1:G1"/>
    </sheetView>
  </sheetViews>
  <sheetFormatPr defaultRowHeight="15" x14ac:dyDescent="0.2"/>
  <cols>
    <col min="1" max="1" width="9.6640625" style="75" customWidth="1"/>
    <col min="2" max="2" width="12.83203125" style="76" customWidth="1"/>
    <col min="3" max="3" width="60.6640625" style="76" customWidth="1"/>
    <col min="4" max="4" width="14.1640625" style="99" hidden="1" customWidth="1"/>
    <col min="5" max="5" width="18" style="99" hidden="1" customWidth="1"/>
    <col min="6" max="6" width="18.1640625" style="99" customWidth="1"/>
    <col min="7" max="7" width="12.83203125" style="99" hidden="1" customWidth="1"/>
    <col min="8" max="8" width="9.83203125" style="76" bestFit="1" customWidth="1"/>
    <col min="9" max="9" width="11.5" style="76" bestFit="1" customWidth="1"/>
    <col min="10" max="10" width="9.83203125" style="76" customWidth="1"/>
    <col min="11" max="16384" width="9.33203125" style="76"/>
  </cols>
  <sheetData>
    <row r="1" spans="1:10" s="326" customFormat="1" ht="21" customHeight="1" thickBot="1" x14ac:dyDescent="0.25">
      <c r="A1" s="323"/>
      <c r="B1" s="324"/>
      <c r="C1" s="325"/>
      <c r="D1" s="1552" t="s">
        <v>1792</v>
      </c>
      <c r="E1" s="1552"/>
      <c r="F1" s="1552"/>
      <c r="G1" s="1552"/>
    </row>
    <row r="2" spans="1:10" s="79" customFormat="1" ht="28.5" customHeight="1" thickBot="1" x14ac:dyDescent="0.25">
      <c r="A2" s="1522" t="s">
        <v>495</v>
      </c>
      <c r="B2" s="1522"/>
      <c r="C2" s="1254" t="s">
        <v>496</v>
      </c>
      <c r="D2" s="1523" t="s">
        <v>1024</v>
      </c>
      <c r="E2" s="343"/>
      <c r="F2" s="1523" t="s">
        <v>1420</v>
      </c>
      <c r="G2" s="1254"/>
    </row>
    <row r="3" spans="1:10" s="79" customFormat="1" ht="32.25" customHeight="1" thickBot="1" x14ac:dyDescent="0.25">
      <c r="A3" s="1528" t="s">
        <v>122</v>
      </c>
      <c r="B3" s="1528"/>
      <c r="C3" s="80" t="s">
        <v>1541</v>
      </c>
      <c r="D3" s="1524"/>
      <c r="E3" s="327"/>
      <c r="F3" s="1524"/>
      <c r="G3" s="327"/>
    </row>
    <row r="4" spans="1:10" s="83" customFormat="1" ht="15.95" customHeight="1" thickBot="1" x14ac:dyDescent="0.3">
      <c r="A4" s="81"/>
      <c r="B4" s="81"/>
      <c r="C4" s="81"/>
      <c r="D4" s="1527"/>
      <c r="E4" s="1527"/>
      <c r="F4" s="1527"/>
      <c r="G4" s="82" t="s">
        <v>79</v>
      </c>
    </row>
    <row r="5" spans="1:10" s="99" customFormat="1" ht="36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10" s="89" customFormat="1" ht="12.95" customHeight="1" thickBot="1" x14ac:dyDescent="0.25">
      <c r="A6" s="1255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10" s="89" customFormat="1" ht="20.25" customHeight="1" thickBot="1" x14ac:dyDescent="0.25">
      <c r="A7" s="328"/>
      <c r="B7" s="329"/>
      <c r="C7" s="329" t="s">
        <v>81</v>
      </c>
      <c r="D7" s="330"/>
      <c r="E7" s="330"/>
      <c r="F7" s="330"/>
      <c r="G7" s="330"/>
      <c r="J7" s="331"/>
    </row>
    <row r="8" spans="1:10" s="96" customFormat="1" ht="15" customHeight="1" thickBot="1" x14ac:dyDescent="0.25">
      <c r="A8" s="1256" t="s">
        <v>2</v>
      </c>
      <c r="B8" s="94"/>
      <c r="C8" s="1142" t="s">
        <v>1774</v>
      </c>
      <c r="D8" s="141">
        <f>SUM(D9:D18)</f>
        <v>0</v>
      </c>
      <c r="E8" s="141">
        <f t="shared" ref="E8:G8" si="0">SUM(E9:E18)</f>
        <v>0</v>
      </c>
      <c r="F8" s="141">
        <f t="shared" si="0"/>
        <v>0</v>
      </c>
      <c r="G8" s="141">
        <f t="shared" si="0"/>
        <v>0</v>
      </c>
      <c r="J8" s="331"/>
    </row>
    <row r="9" spans="1:10" s="96" customFormat="1" ht="15" customHeight="1" x14ac:dyDescent="0.2">
      <c r="A9" s="1257"/>
      <c r="B9" s="98" t="s">
        <v>50</v>
      </c>
      <c r="C9" s="1143" t="s">
        <v>1472</v>
      </c>
      <c r="D9" s="142">
        <f>SUM('4.1 sz. mell'!D9+'---'!D9+'4.2 sz. mell'!D9+'........'!D9+'4.3.sz. mell. '!D9+'4.4 sz. mell.'!D9+'4.5.sz. mell.'!D9)</f>
        <v>0</v>
      </c>
      <c r="E9" s="142">
        <f>SUM('4.1 sz. mell'!E9+'---'!E9+'4.2 sz. mell'!E9+'........'!E9+'4.3.sz. mell. '!E9+'4.4 sz. mell.'!E9+'4.5.sz. mell.'!E9)</f>
        <v>0</v>
      </c>
      <c r="F9" s="142">
        <f>SUM('4.1 sz. mell'!F9+'---'!F9+'4.2 sz. mell'!F9+'........'!F9+'4.3.sz. mell. '!F9+'4.4 sz. mell.'!F9+'4.5.sz. mell.'!F9)</f>
        <v>0</v>
      </c>
      <c r="G9" s="142">
        <f>SUM('4.1 sz. mell'!G9+'---'!G9+'4.2 sz. mell'!G9+'........'!G9+'4.3.sz. mell. '!G9+'4.4 sz. mell.'!G9+'4.5.sz. mell.'!G9)</f>
        <v>0</v>
      </c>
      <c r="J9" s="331"/>
    </row>
    <row r="10" spans="1:10" s="96" customFormat="1" ht="15" customHeight="1" x14ac:dyDescent="0.2">
      <c r="A10" s="97"/>
      <c r="B10" s="98" t="s">
        <v>52</v>
      </c>
      <c r="C10" s="1144" t="s">
        <v>1473</v>
      </c>
      <c r="D10" s="142">
        <f>SUM('4.1 sz. mell'!D10+'---'!D10+'4.2 sz. mell'!D10+'........'!D10+'4.3.sz. mell. '!D10+'4.4 sz. mell.'!D10+'4.5.sz. mell.'!D10)</f>
        <v>0</v>
      </c>
      <c r="E10" s="142">
        <f>SUM('4.1 sz. mell'!E10+'---'!E10+'4.2 sz. mell'!E10+'........'!E10+'4.3.sz. mell. '!E10+'4.4 sz. mell.'!E10+'4.5.sz. mell.'!E10)</f>
        <v>0</v>
      </c>
      <c r="F10" s="142">
        <f>SUM('4.1 sz. mell'!F10+'---'!F10+'4.2 sz. mell'!F10+'........'!F10+'4.3.sz. mell. '!F10+'4.4 sz. mell.'!F10+'4.5.sz. mell.'!F10)</f>
        <v>0</v>
      </c>
      <c r="G10" s="142">
        <f>SUM('4.1 sz. mell'!G10+'---'!G10+'4.2 sz. mell'!G10+'........'!G10+'4.3.sz. mell. '!G10+'4.4 sz. mell.'!G10+'4.5.sz. mell.'!G10)</f>
        <v>0</v>
      </c>
      <c r="J10" s="331"/>
    </row>
    <row r="11" spans="1:10" s="96" customFormat="1" ht="15" customHeight="1" x14ac:dyDescent="0.2">
      <c r="A11" s="97"/>
      <c r="B11" s="98" t="s">
        <v>54</v>
      </c>
      <c r="C11" s="1144" t="s">
        <v>1474</v>
      </c>
      <c r="D11" s="142">
        <f>SUM('4.1 sz. mell'!D11+'---'!D11+'4.2 sz. mell'!D11+'........'!D11+'4.3.sz. mell. '!D11+'4.4 sz. mell.'!D11+'4.5.sz. mell.'!D11)</f>
        <v>0</v>
      </c>
      <c r="E11" s="142">
        <f>SUM('4.1 sz. mell'!E11+'---'!E11+'4.2 sz. mell'!E11+'........'!E11+'4.3.sz. mell. '!E11+'4.4 sz. mell.'!E11+'4.5.sz. mell.'!E11)</f>
        <v>0</v>
      </c>
      <c r="F11" s="142">
        <f>SUM('4.1 sz. mell'!F11+'---'!F11+'4.2 sz. mell'!F11+'........'!F11+'4.3.sz. mell. '!F11+'4.4 sz. mell.'!F11+'4.5.sz. mell.'!F11)</f>
        <v>0</v>
      </c>
      <c r="G11" s="142">
        <f>SUM('4.1 sz. mell'!G11+'---'!G11+'4.2 sz. mell'!G11+'........'!G11+'4.3.sz. mell. '!G11+'4.4 sz. mell.'!G11+'4.5.sz. mell.'!G11)</f>
        <v>0</v>
      </c>
      <c r="J11" s="331"/>
    </row>
    <row r="12" spans="1:10" s="96" customFormat="1" ht="15" customHeight="1" x14ac:dyDescent="0.2">
      <c r="A12" s="97"/>
      <c r="B12" s="98" t="s">
        <v>56</v>
      </c>
      <c r="C12" s="1144" t="s">
        <v>1475</v>
      </c>
      <c r="D12" s="142">
        <f>SUM('4.1 sz. mell'!D12+'---'!D12+'4.2 sz. mell'!D12+'........'!D12+'4.3.sz. mell. '!D12+'4.4 sz. mell.'!D12+'4.5.sz. mell.'!D12)</f>
        <v>0</v>
      </c>
      <c r="E12" s="142">
        <f>SUM('4.1 sz. mell'!E12+'---'!E12+'4.2 sz. mell'!E12+'........'!E12+'4.3.sz. mell. '!E12+'4.4 sz. mell.'!E12+'4.5.sz. mell.'!E12)</f>
        <v>0</v>
      </c>
      <c r="F12" s="142">
        <f>SUM('4.1 sz. mell'!F12+'---'!F12+'4.2 sz. mell'!F12+'........'!F12+'4.3.sz. mell. '!F12+'4.4 sz. mell.'!F12+'4.5.sz. mell.'!F12)</f>
        <v>0</v>
      </c>
      <c r="G12" s="142">
        <f>SUM('4.1 sz. mell'!G12+'---'!G12+'4.2 sz. mell'!G12+'........'!G12+'4.3.sz. mell. '!G12+'4.4 sz. mell.'!G12+'4.5.sz. mell.'!G12)</f>
        <v>0</v>
      </c>
      <c r="J12" s="331"/>
    </row>
    <row r="13" spans="1:10" s="96" customFormat="1" ht="15" customHeight="1" x14ac:dyDescent="0.2">
      <c r="A13" s="97"/>
      <c r="B13" s="98" t="s">
        <v>227</v>
      </c>
      <c r="C13" s="5" t="s">
        <v>1476</v>
      </c>
      <c r="D13" s="142">
        <f>SUM('4.1 sz. mell'!D13+'---'!D13+'4.2 sz. mell'!D13+'........'!D13+'4.3.sz. mell. '!D13+'4.4 sz. mell.'!D13+'4.5.sz. mell.'!D13)</f>
        <v>0</v>
      </c>
      <c r="E13" s="142">
        <f>SUM('4.1 sz. mell'!E13+'---'!E13+'4.2 sz. mell'!E13+'........'!E13+'4.3.sz. mell. '!E13+'4.4 sz. mell.'!E13+'4.5.sz. mell.'!E13)</f>
        <v>0</v>
      </c>
      <c r="F13" s="142">
        <f>SUM('4.1 sz. mell'!F13+'---'!F13+'4.2 sz. mell'!F13+'........'!F13+'4.3.sz. mell. '!F13+'4.4 sz. mell.'!F13+'4.5.sz. mell.'!F13)</f>
        <v>0</v>
      </c>
      <c r="G13" s="142">
        <f>SUM('4.1 sz. mell'!G13+'---'!G13+'4.2 sz. mell'!G13+'........'!G13+'4.3.sz. mell. '!G13+'4.4 sz. mell.'!G13+'4.5.sz. mell.'!G13)</f>
        <v>0</v>
      </c>
    </row>
    <row r="14" spans="1:10" s="96" customFormat="1" ht="15" customHeight="1" x14ac:dyDescent="0.2">
      <c r="A14" s="100"/>
      <c r="B14" s="98" t="s">
        <v>228</v>
      </c>
      <c r="C14" s="1144" t="s">
        <v>1477</v>
      </c>
      <c r="D14" s="142">
        <f>SUM('4.1 sz. mell'!D14+'---'!D14+'4.2 sz. mell'!D14+'........'!D14+'4.3.sz. mell. '!D14+'4.4 sz. mell.'!D14+'4.5.sz. mell.'!D14)</f>
        <v>0</v>
      </c>
      <c r="E14" s="142">
        <f>SUM('4.1 sz. mell'!E14+'---'!E14+'4.2 sz. mell'!E14+'........'!E14+'4.3.sz. mell. '!E14+'4.4 sz. mell.'!E14+'4.5.sz. mell.'!E14)</f>
        <v>0</v>
      </c>
      <c r="F14" s="142">
        <f>SUM('4.1 sz. mell'!F14+'---'!F14+'4.2 sz. mell'!F14+'........'!F14+'4.3.sz. mell. '!F14+'4.4 sz. mell.'!F14+'4.5.sz. mell.'!F14)</f>
        <v>0</v>
      </c>
      <c r="G14" s="142">
        <f>SUM('4.1 sz. mell'!G14+'---'!G14+'4.2 sz. mell'!G14+'........'!G14+'4.3.sz. mell. '!G14+'4.4 sz. mell.'!G14+'4.5.sz. mell.'!G14)</f>
        <v>0</v>
      </c>
      <c r="J14" s="331"/>
    </row>
    <row r="15" spans="1:10" s="99" customFormat="1" ht="15" customHeight="1" x14ac:dyDescent="0.2">
      <c r="A15" s="97"/>
      <c r="B15" s="98" t="s">
        <v>230</v>
      </c>
      <c r="C15" s="1144" t="s">
        <v>1478</v>
      </c>
      <c r="D15" s="142">
        <f>SUM('4.1 sz. mell'!D15+'---'!D15+'4.2 sz. mell'!D15+'........'!D15+'4.3.sz. mell. '!D15+'4.4 sz. mell.'!D15+'4.5.sz. mell.'!D15)</f>
        <v>0</v>
      </c>
      <c r="E15" s="142">
        <f>SUM('4.1 sz. mell'!E15+'---'!E15+'4.2 sz. mell'!E15+'........'!E15+'4.3.sz. mell. '!E15+'4.4 sz. mell.'!E15+'4.5.sz. mell.'!E15)</f>
        <v>0</v>
      </c>
      <c r="F15" s="142">
        <f>SUM('4.1 sz. mell'!F15+'---'!F15+'4.2 sz. mell'!F15+'........'!F15+'4.3.sz. mell. '!F15+'4.4 sz. mell.'!F15+'4.5.sz. mell.'!F15)</f>
        <v>0</v>
      </c>
      <c r="G15" s="142">
        <f>SUM('4.1 sz. mell'!G15+'---'!G15+'4.2 sz. mell'!G15+'........'!G15+'4.3.sz. mell. '!G15+'4.4 sz. mell.'!G15+'4.5.sz. mell.'!G15)</f>
        <v>0</v>
      </c>
      <c r="J15" s="331"/>
    </row>
    <row r="16" spans="1:10" s="99" customFormat="1" ht="15" customHeight="1" x14ac:dyDescent="0.2">
      <c r="A16" s="1214"/>
      <c r="B16" s="105" t="s">
        <v>232</v>
      </c>
      <c r="C16" s="1144" t="s">
        <v>1479</v>
      </c>
      <c r="D16" s="1296"/>
      <c r="E16" s="1296"/>
      <c r="F16" s="1296"/>
      <c r="G16" s="1296"/>
      <c r="J16" s="331"/>
    </row>
    <row r="17" spans="1:10" s="99" customFormat="1" ht="15" customHeight="1" x14ac:dyDescent="0.2">
      <c r="A17" s="1214"/>
      <c r="B17" s="1146" t="s">
        <v>234</v>
      </c>
      <c r="C17" s="1149" t="s">
        <v>1480</v>
      </c>
      <c r="D17" s="1296"/>
      <c r="E17" s="1296"/>
      <c r="F17" s="1296"/>
      <c r="G17" s="1296"/>
      <c r="J17" s="33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2">
        <f>SUM('4.1 sz. mell'!D18+'---'!D16+'4.2 sz. mell'!D18+'........'!D16+'4.3.sz. mell. '!D18+'4.4 sz. mell.'!D18+'4.5.sz. mell.'!D18)</f>
        <v>0</v>
      </c>
      <c r="E18" s="142">
        <f>SUM('4.1 sz. mell'!E18+'---'!E16+'4.2 sz. mell'!E18+'........'!E16+'4.3.sz. mell. '!E18+'4.4 sz. mell.'!E18+'4.5.sz. mell.'!E18)</f>
        <v>0</v>
      </c>
      <c r="F18" s="142">
        <f>SUM('4.1 sz. mell'!F18+'---'!F16+'4.2 sz. mell'!F18+'........'!F16+'4.3.sz. mell. '!F18+'4.4 sz. mell.'!F18+'4.5.sz. mell.'!F18)</f>
        <v>0</v>
      </c>
      <c r="G18" s="142">
        <f>SUM('4.1 sz. mell'!G18+'---'!G16+'4.2 sz. mell'!G18+'........'!G16+'4.3.sz. mell. '!G18+'4.4 sz. mell.'!G18+'4.5.sz. mell.'!G18)</f>
        <v>0</v>
      </c>
      <c r="J18" s="331"/>
    </row>
    <row r="19" spans="1:10" s="96" customFormat="1" ht="30" customHeight="1" thickBot="1" x14ac:dyDescent="0.25">
      <c r="A19" s="1256" t="s">
        <v>3</v>
      </c>
      <c r="B19" s="94"/>
      <c r="C19" s="1142" t="s">
        <v>1482</v>
      </c>
      <c r="D19" s="141">
        <f>SUM(D20:D25)</f>
        <v>54666</v>
      </c>
      <c r="E19" s="141">
        <f t="shared" ref="E19:G19" si="1">SUM(E20:E25)</f>
        <v>110160</v>
      </c>
      <c r="F19" s="141">
        <f>SUM(F20+F24+F25)</f>
        <v>0</v>
      </c>
      <c r="G19" s="141">
        <f t="shared" si="1"/>
        <v>0</v>
      </c>
    </row>
    <row r="20" spans="1:10" s="99" customFormat="1" ht="31.5" customHeight="1" x14ac:dyDescent="0.2">
      <c r="A20" s="97"/>
      <c r="B20" s="98" t="s">
        <v>4</v>
      </c>
      <c r="C20" s="1151" t="s">
        <v>1483</v>
      </c>
      <c r="D20" s="142">
        <f>SUM('4.1 sz. mell'!D20+'---'!D18+'4.2 sz. mell'!D20+'........'!D18+'4.3.sz. mell. '!D20+'4.4 sz. mell.'!D20+'4.5.sz. mell.'!D20+'4.6.sz. mell.'!D20)</f>
        <v>54666</v>
      </c>
      <c r="E20" s="142">
        <f>SUM('4.1 sz. mell'!E20+'---'!E18+'4.2 sz. mell'!E20+'........'!E18+'4.3.sz. mell. '!E20+'4.4 sz. mell.'!E20+'4.5.sz. mell.'!E20+'4.6.sz. mell.'!E20)</f>
        <v>110160</v>
      </c>
      <c r="F20" s="142">
        <f>SUM(F21:F22)</f>
        <v>0</v>
      </c>
      <c r="G20" s="142">
        <f>SUM('4.1 sz. mell'!G20+'---'!G18+'4.2 sz. mell'!G20+'........'!G18+'4.3.sz. mell. '!G20+'4.4 sz. mell.'!G20+'4.5.sz. mell.'!G20+'4.6.sz. mell.'!G20)</f>
        <v>0</v>
      </c>
      <c r="H20" s="96"/>
      <c r="I20" s="96"/>
      <c r="J20" s="96"/>
    </row>
    <row r="21" spans="1:10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  <c r="H21" s="96"/>
      <c r="I21" s="96"/>
      <c r="J21" s="96"/>
    </row>
    <row r="22" spans="1:10" s="99" customFormat="1" ht="30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  <c r="H22" s="96"/>
      <c r="I22" s="96"/>
      <c r="J22" s="96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f>SUM('4.1 sz. mell'!D23+'---'!D19+'4.2 sz. mell'!D23+'........'!D19+'4.3.sz. mell. '!D23+'4.4 sz. mell.'!D23+'4.5.sz. mell.'!D23)</f>
        <v>0</v>
      </c>
      <c r="E23" s="142">
        <f>SUM('4.1 sz. mell'!E23+'---'!E19+'4.2 sz. mell'!E23+'........'!E19+'4.3.sz. mell. '!E23+'4.4 sz. mell.'!E23+'4.5.sz. mell.'!E23)</f>
        <v>0</v>
      </c>
      <c r="F23" s="142">
        <f>SUM('4.1 sz. mell'!F23+'---'!F19+'4.2 sz. mell'!F23+'........'!F19+'4.3.sz. mell. '!F23+'4.4 sz. mell.'!F23+'4.5.sz. mell.'!F23)</f>
        <v>0</v>
      </c>
      <c r="G23" s="142">
        <f>SUM('4.1 sz. mell'!G23+'---'!G19+'4.2 sz. mell'!G23+'........'!G19+'4.3.sz. mell. '!G23+'4.4 sz. mell.'!G23+'4.5.sz. mell.'!G23)</f>
        <v>0</v>
      </c>
      <c r="H23" s="96"/>
      <c r="I23" s="96"/>
      <c r="J23" s="96"/>
    </row>
    <row r="24" spans="1:10" s="99" customFormat="1" ht="15" customHeight="1" x14ac:dyDescent="0.2">
      <c r="A24" s="97"/>
      <c r="B24" s="1148" t="s">
        <v>6</v>
      </c>
      <c r="C24" s="1144" t="s">
        <v>1485</v>
      </c>
      <c r="D24" s="142">
        <f>SUM('4.1 sz. mell'!D24+'---'!D20+'4.2 sz. mell'!D24+'........'!D20+'4.3.sz. mell. '!D24+'4.4 sz. mell.'!D24+'4.5.sz. mell.'!D24)</f>
        <v>0</v>
      </c>
      <c r="E24" s="142">
        <f>SUM('4.1 sz. mell'!E24+'---'!E20+'4.2 sz. mell'!E24+'........'!E20+'4.3.sz. mell. '!E24+'4.4 sz. mell.'!E24+'4.5.sz. mell.'!E24)</f>
        <v>0</v>
      </c>
      <c r="F24" s="142">
        <f>SUM('4.1 sz. mell'!F24+'---'!F20+'4.2 sz. mell'!F24+'........'!F20+'4.3.sz. mell. '!F24+'4.4 sz. mell.'!F24+'4.5.sz. mell.'!F24)</f>
        <v>0</v>
      </c>
      <c r="G24" s="142">
        <f>SUM('4.1 sz. mell'!G24+'---'!G20+'4.2 sz. mell'!G24+'........'!G20+'4.3.sz. mell. '!G24+'4.4 sz. mell.'!G24+'4.5.sz. mell.'!G24)</f>
        <v>0</v>
      </c>
      <c r="H24" s="96"/>
      <c r="I24" s="96"/>
      <c r="J24" s="96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5">
        <f>SUM('4.1 sz. mell'!D25+'---'!D21+'4.2 sz. mell'!D25+'........'!D21+'4.3.sz. mell. '!D25+'4.4 sz. mell.'!D25+'4.5.sz. mell.'!D25)</f>
        <v>0</v>
      </c>
      <c r="E25" s="145">
        <f>SUM('4.1 sz. mell'!E25+'---'!E21+'4.2 sz. mell'!E25+'........'!E21+'4.3.sz. mell. '!E25+'4.4 sz. mell.'!E25+'4.5.sz. mell.'!E25)</f>
        <v>0</v>
      </c>
      <c r="F25" s="145">
        <f>SUM('4.1 sz. mell'!F25+'---'!F21+'4.2 sz. mell'!F25+'........'!F21+'4.3.sz. mell. '!F25+'4.4 sz. mell.'!F25+'4.5.sz. mell.'!F25)</f>
        <v>0</v>
      </c>
      <c r="G25" s="145">
        <f>SUM('4.1 sz. mell'!G25+'---'!G21+'4.2 sz. mell'!G25+'........'!G21+'4.3.sz. mell. '!G25+'4.4 sz. mell.'!G25+'4.5.sz. mell.'!G25)</f>
        <v>0</v>
      </c>
      <c r="H25" s="96"/>
      <c r="I25" s="96"/>
      <c r="J25" s="96"/>
    </row>
    <row r="26" spans="1:10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  <c r="H26" s="96"/>
      <c r="I26" s="96"/>
      <c r="J26" s="96"/>
    </row>
    <row r="27" spans="1:10" s="99" customFormat="1" ht="30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  <c r="H27" s="96"/>
      <c r="I27" s="96"/>
      <c r="J27" s="96"/>
    </row>
    <row r="28" spans="1:10" s="99" customFormat="1" ht="15" customHeight="1" thickBot="1" x14ac:dyDescent="0.25">
      <c r="A28" s="1256" t="s">
        <v>68</v>
      </c>
      <c r="B28" s="94"/>
      <c r="C28" s="1156" t="s">
        <v>1505</v>
      </c>
      <c r="D28" s="332">
        <f>SUM('4.1 sz. mell'!D28+'---'!D22+'4.2 sz. mell'!D28+'........'!D22+'4.3.sz. mell. '!D28+'4.4 sz. mell.'!D28+'4.5.sz. mell.'!D28)</f>
        <v>0</v>
      </c>
      <c r="E28" s="332">
        <f>SUM('4.1 sz. mell'!E28+'---'!E22+'4.2 sz. mell'!E28+'........'!E22+'4.3.sz. mell. '!E28+'4.4 sz. mell.'!E28+'4.5.sz. mell.'!E28)</f>
        <v>0</v>
      </c>
      <c r="F28" s="332">
        <f>SUM('4.1 sz. mell'!F28+'---'!F22+'4.2 sz. mell'!F28+'........'!F22+'4.3.sz. mell. '!F28+'4.4 sz. mell.'!F28+'4.5.sz. mell.'!F28)</f>
        <v>0</v>
      </c>
      <c r="G28" s="332">
        <f>SUM('4.1 sz. mell'!G28+'---'!G22+'4.2 sz. mell'!G28+'........'!G22+'4.3.sz. mell. '!G28+'4.4 sz. mell.'!G28+'4.5.sz. mell.'!G28)</f>
        <v>0</v>
      </c>
      <c r="H28" s="96"/>
      <c r="I28" s="96"/>
      <c r="J28" s="96"/>
    </row>
    <row r="29" spans="1:10" s="99" customFormat="1" ht="15" customHeight="1" thickBot="1" x14ac:dyDescent="0.25">
      <c r="A29" s="97"/>
      <c r="B29" s="1160" t="s">
        <v>133</v>
      </c>
      <c r="C29" s="1144" t="s">
        <v>1489</v>
      </c>
      <c r="D29" s="1312"/>
      <c r="E29" s="1312"/>
      <c r="F29" s="1312"/>
      <c r="G29" s="1312"/>
      <c r="H29" s="96"/>
      <c r="I29" s="96"/>
      <c r="J29" s="96"/>
    </row>
    <row r="30" spans="1:10" s="99" customFormat="1" ht="15" customHeight="1" thickBot="1" x14ac:dyDescent="0.25">
      <c r="A30" s="97"/>
      <c r="B30" s="1160" t="s">
        <v>983</v>
      </c>
      <c r="C30" s="1144" t="s">
        <v>1490</v>
      </c>
      <c r="D30" s="1312"/>
      <c r="E30" s="1312"/>
      <c r="F30" s="1312"/>
      <c r="G30" s="1312"/>
      <c r="H30" s="96"/>
      <c r="I30" s="96"/>
      <c r="J30" s="96"/>
    </row>
    <row r="31" spans="1:10" s="99" customFormat="1" ht="15" customHeight="1" thickBot="1" x14ac:dyDescent="0.25">
      <c r="A31" s="97"/>
      <c r="B31" s="1160" t="s">
        <v>149</v>
      </c>
      <c r="C31" s="1144" t="s">
        <v>1491</v>
      </c>
      <c r="D31" s="1312"/>
      <c r="E31" s="1312"/>
      <c r="F31" s="1312"/>
      <c r="G31" s="1312"/>
      <c r="H31" s="96"/>
      <c r="I31" s="96"/>
      <c r="J31" s="96"/>
    </row>
    <row r="32" spans="1:10" s="99" customFormat="1" ht="30" customHeight="1" thickBot="1" x14ac:dyDescent="0.25">
      <c r="A32" s="1256">
        <v>5</v>
      </c>
      <c r="B32" s="1161"/>
      <c r="C32" s="1156" t="s">
        <v>1506</v>
      </c>
      <c r="D32" s="119">
        <f>SUM('4.1 sz. mell'!D32+'---'!D23+'4.2 sz. mell'!D32+'........'!D23+'4.3.sz. mell. '!D32+'4.4 sz. mell.'!D31+'4.5.sz. mell.'!D31)</f>
        <v>0</v>
      </c>
      <c r="E32" s="119">
        <f>SUM('4.1 sz. mell'!E32+'---'!E23+'4.2 sz. mell'!E32+'........'!E23+'4.3.sz. mell. '!E32+'4.4 sz. mell.'!E31+'4.5.sz. mell.'!E31)</f>
        <v>0</v>
      </c>
      <c r="F32" s="119">
        <f>SUM('4.1 sz. mell'!F32+'---'!F23+'4.2 sz. mell'!F32+'........'!F23+'4.3.sz. mell. '!F32+'4.4 sz. mell.'!F31+'4.5.sz. mell.'!F31)</f>
        <v>0</v>
      </c>
      <c r="G32" s="119">
        <f>SUM('4.1 sz. mell'!G32+'---'!G23+'4.2 sz. mell'!G32+'........'!G23+'4.3.sz. mell. '!G32+'4.4 sz. mell.'!G31+'4.5.sz. mell.'!G31)</f>
        <v>0</v>
      </c>
      <c r="H32" s="96"/>
      <c r="I32" s="96"/>
      <c r="J32" s="96"/>
    </row>
    <row r="33" spans="1:10" s="99" customFormat="1" ht="30.75" customHeight="1" thickBot="1" x14ac:dyDescent="0.25">
      <c r="A33" s="1216"/>
      <c r="B33" s="1162" t="s">
        <v>28</v>
      </c>
      <c r="C33" s="1151" t="s">
        <v>1492</v>
      </c>
      <c r="D33" s="1224"/>
      <c r="E33" s="1224"/>
      <c r="F33" s="1224"/>
      <c r="G33" s="1224"/>
      <c r="H33" s="96"/>
      <c r="I33" s="96"/>
      <c r="J33" s="96"/>
    </row>
    <row r="34" spans="1:10" s="99" customFormat="1" ht="15" customHeight="1" thickBot="1" x14ac:dyDescent="0.3">
      <c r="A34" s="1216" t="s">
        <v>32</v>
      </c>
      <c r="B34" s="117"/>
      <c r="C34" s="1142" t="s">
        <v>1493</v>
      </c>
      <c r="D34" s="1224"/>
      <c r="E34" s="1224"/>
      <c r="F34" s="1224"/>
      <c r="G34" s="1224"/>
      <c r="H34" s="96"/>
      <c r="I34" s="96"/>
      <c r="J34" s="96"/>
    </row>
    <row r="35" spans="1:10" s="96" customFormat="1" ht="30.75" customHeight="1" thickBot="1" x14ac:dyDescent="0.25">
      <c r="A35" s="1216"/>
      <c r="B35" s="1164" t="s">
        <v>33</v>
      </c>
      <c r="C35" s="1144" t="s">
        <v>1494</v>
      </c>
      <c r="D35" s="119">
        <f>SUM('4.1 sz. mell'!D36+'---'!D24+'4.2 sz. mell'!D33+'........'!D24+'4.3.sz. mell. '!D33+'4.4 sz. mell.'!D32+'4.5.sz. mell.'!D32)</f>
        <v>0</v>
      </c>
      <c r="E35" s="119">
        <f>SUM('4.1 sz. mell'!E36+'---'!E24+'4.2 sz. mell'!E33+'........'!E24+'4.3.sz. mell. '!E33+'4.4 sz. mell.'!E32+'4.5.sz. mell.'!E32)</f>
        <v>0</v>
      </c>
      <c r="F35" s="119">
        <f>SUM('4.1 sz. mell'!F36+'---'!F24+'4.2 sz. mell'!F33+'........'!F24+'4.3.sz. mell. '!F33+'4.4 sz. mell.'!F32+'4.5.sz. mell.'!F32)</f>
        <v>0</v>
      </c>
      <c r="G35" s="119">
        <f>SUM('4.1 sz. mell'!G36+'---'!G24+'4.2 sz. mell'!G33+'........'!G24+'4.3.sz. mell. '!G33+'4.4 sz. mell.'!G32+'4.5.sz. mell.'!G32)</f>
        <v>0</v>
      </c>
    </row>
    <row r="36" spans="1:10" s="96" customFormat="1" ht="15" customHeight="1" thickBot="1" x14ac:dyDescent="0.3">
      <c r="A36" s="1256" t="s">
        <v>74</v>
      </c>
      <c r="B36" s="117"/>
      <c r="C36" s="1156" t="s">
        <v>1495</v>
      </c>
      <c r="D36" s="333">
        <f>+D37+D38</f>
        <v>0</v>
      </c>
      <c r="E36" s="333">
        <f t="shared" ref="E36:G36" si="2">+E37+E38</f>
        <v>2614</v>
      </c>
      <c r="F36" s="333">
        <f t="shared" si="2"/>
        <v>0</v>
      </c>
      <c r="G36" s="333">
        <f t="shared" si="2"/>
        <v>0</v>
      </c>
    </row>
    <row r="37" spans="1:10" s="96" customFormat="1" ht="15" customHeight="1" x14ac:dyDescent="0.2">
      <c r="A37" s="1257"/>
      <c r="B37" s="1160" t="s">
        <v>36</v>
      </c>
      <c r="C37" s="1144" t="s">
        <v>1496</v>
      </c>
      <c r="D37" s="142">
        <f>SUM('4.1 sz. mell'!D38+'---'!D26+'4.2 sz. mell'!D37+'........'!D26+'4.3.sz. mell. '!D37+'4.4 sz. mell.'!D37+'4.5.sz. mell.'!D38)</f>
        <v>0</v>
      </c>
      <c r="E37" s="142">
        <f>SUM('4.1 sz. mell'!E38+'---'!E26+'4.2 sz. mell'!E37+'........'!E26+'4.3.sz. mell. '!E37+'4.4 sz. mell.'!E37+'4.5.sz. mell.'!E38)</f>
        <v>2614</v>
      </c>
      <c r="F37" s="142">
        <f>SUM('4.1 sz. mell'!F38+'---'!F26+'4.2 sz. mell'!F37+'........'!F26+'4.3.sz. mell. '!F37+'4.4 sz. mell.'!F37+'4.5.sz. mell.'!F38)</f>
        <v>0</v>
      </c>
      <c r="G37" s="142">
        <f>SUM('4.1 sz. mell'!G38+'---'!G26+'4.2 sz. mell'!G37+'........'!G26+'4.3.sz. mell. '!G37+'4.4 sz. mell.'!G37+'4.5.sz. mell.'!G38)</f>
        <v>0</v>
      </c>
    </row>
    <row r="38" spans="1:10" s="96" customFormat="1" ht="15" customHeight="1" thickBot="1" x14ac:dyDescent="0.25">
      <c r="A38" s="1258"/>
      <c r="B38" s="1160" t="s">
        <v>37</v>
      </c>
      <c r="C38" s="1144" t="s">
        <v>1497</v>
      </c>
      <c r="D38" s="145">
        <f>SUM('4.1 sz. mell'!D39+'---'!D27+'4.2 sz. mell'!D38+'........'!D27+'4.3.sz. mell. '!D38+'4.4 sz. mell.'!D38+'4.5.sz. mell.'!D39)</f>
        <v>0</v>
      </c>
      <c r="E38" s="145">
        <f>SUM('4.1 sz. mell'!E39+'---'!E27+'4.2 sz. mell'!E38+'........'!E27+'4.3.sz. mell. '!E38+'4.4 sz. mell.'!E38+'4.5.sz. mell.'!E39)</f>
        <v>0</v>
      </c>
      <c r="F38" s="145">
        <f>SUM('4.1 sz. mell'!F39+'---'!F27+'4.2 sz. mell'!F38+'........'!F27+'4.3.sz. mell. '!F38+'4.4 sz. mell.'!F38+'4.5.sz. mell.'!F39)</f>
        <v>0</v>
      </c>
      <c r="G38" s="145">
        <f>SUM('4.1 sz. mell'!G39+'---'!G27+'4.2 sz. mell'!G38+'........'!G27+'4.3.sz. mell. '!G38+'4.4 sz. mell.'!G38+'4.5.sz. mell.'!G39)</f>
        <v>0</v>
      </c>
    </row>
    <row r="39" spans="1:10" s="99" customFormat="1" ht="15" customHeight="1" thickBot="1" x14ac:dyDescent="0.25">
      <c r="A39" s="116"/>
      <c r="B39" s="1160" t="s">
        <v>1499</v>
      </c>
      <c r="C39" s="1144" t="s">
        <v>1498</v>
      </c>
      <c r="D39" s="145">
        <f>'4.1 sz. mell'!D40+'---'!D28+'4.2 sz. mell'!D39+'........'!D28+'4.3.sz. mell. '!D39+'4.4 sz. mell.'!D39+'4.5.sz. mell.'!D40+'4.6.sz. mell.'!D39</f>
        <v>548607</v>
      </c>
      <c r="E39" s="145">
        <f>'4.1 sz. mell'!E40+'---'!E28+'4.2 sz. mell'!E39+'........'!E28+'4.3.sz. mell. '!E39+'4.4 sz. mell.'!E39+'4.5.sz. mell.'!E40+'4.6.sz. mell.'!E39</f>
        <v>627509</v>
      </c>
      <c r="F39" s="145"/>
      <c r="G39" s="36">
        <f t="shared" ref="G39:G41" si="3">SUM(F39/E39)*100</f>
        <v>0</v>
      </c>
      <c r="H39" s="96"/>
      <c r="I39" s="674">
        <f>SUM(F59-F41)</f>
        <v>0</v>
      </c>
      <c r="J39" s="96"/>
    </row>
    <row r="40" spans="1:10" s="99" customFormat="1" ht="15" hidden="1" customHeight="1" thickBot="1" x14ac:dyDescent="0.3">
      <c r="A40" s="116"/>
      <c r="B40" s="117"/>
      <c r="C40" s="2"/>
      <c r="D40" s="119"/>
      <c r="E40" s="119"/>
      <c r="F40" s="119">
        <f>'4.1 sz. mell'!F43</f>
        <v>0</v>
      </c>
      <c r="G40" s="36"/>
      <c r="I40" s="110"/>
    </row>
    <row r="41" spans="1:10" s="99" customFormat="1" ht="18" customHeight="1" thickBot="1" x14ac:dyDescent="0.3">
      <c r="A41" s="150" t="s">
        <v>38</v>
      </c>
      <c r="B41" s="334"/>
      <c r="C41" s="335" t="s">
        <v>510</v>
      </c>
      <c r="D41" s="152">
        <f>SUM(D8,D19,D28,D32,D35,D36,D39)</f>
        <v>603273</v>
      </c>
      <c r="E41" s="152">
        <f t="shared" ref="E41" si="4">SUM(E8,E19,E28,E32,E35,E36,E39)</f>
        <v>740283</v>
      </c>
      <c r="F41" s="152">
        <f>SUM(F8,F19,F28,F32,F35,F36,F39,F40)</f>
        <v>0</v>
      </c>
      <c r="G41" s="36">
        <f t="shared" si="3"/>
        <v>0</v>
      </c>
      <c r="J41" s="110">
        <f>SUM(F59-F41)</f>
        <v>0</v>
      </c>
    </row>
    <row r="42" spans="1:10" s="99" customFormat="1" ht="15" customHeight="1" thickBot="1" x14ac:dyDescent="0.25">
      <c r="A42" s="336"/>
      <c r="B42" s="153"/>
      <c r="C42" s="154"/>
      <c r="D42" s="155"/>
      <c r="E42" s="155"/>
      <c r="F42" s="155"/>
      <c r="G42" s="155"/>
    </row>
    <row r="43" spans="1:10" s="89" customFormat="1" ht="21" customHeight="1" thickBot="1" x14ac:dyDescent="0.25">
      <c r="A43" s="328"/>
      <c r="B43" s="329"/>
      <c r="C43" s="329" t="s">
        <v>82</v>
      </c>
      <c r="D43" s="330"/>
      <c r="E43" s="330"/>
      <c r="F43" s="330"/>
      <c r="G43" s="330"/>
    </row>
    <row r="44" spans="1:10" s="125" customFormat="1" ht="15" customHeight="1" thickBot="1" x14ac:dyDescent="0.25">
      <c r="A44" s="1256" t="s">
        <v>2</v>
      </c>
      <c r="B44" s="2"/>
      <c r="C44" s="10" t="s">
        <v>49</v>
      </c>
      <c r="D44" s="36">
        <f>SUM(D45:D49)</f>
        <v>578773</v>
      </c>
      <c r="E44" s="36">
        <f t="shared" ref="E44:F44" si="5">SUM(E45:E49)</f>
        <v>721643</v>
      </c>
      <c r="F44" s="36">
        <f t="shared" si="5"/>
        <v>0</v>
      </c>
      <c r="G44" s="36"/>
    </row>
    <row r="45" spans="1:10" ht="15" customHeight="1" thickBot="1" x14ac:dyDescent="0.25">
      <c r="A45" s="113"/>
      <c r="B45" s="124" t="s">
        <v>50</v>
      </c>
      <c r="C45" s="7" t="s">
        <v>51</v>
      </c>
      <c r="D45" s="142">
        <f>SUM('4.1 sz. mell'!D48+'---'!D34+'4.2 sz. mell'!D45+'........'!D34+'4.3.sz. mell. '!D45+'4.4 sz. mell.'!D46+'4.5.sz. mell.'!D46+'4.6.sz. mell.'!D46)</f>
        <v>347693</v>
      </c>
      <c r="E45" s="142">
        <f>SUM('4.1 sz. mell'!E48+'---'!E34+'4.2 sz. mell'!E45+'........'!E34+'4.3.sz. mell. '!E45+'4.4 sz. mell.'!E46+'4.5.sz. mell.'!E46+'4.6.sz. mell.'!E46)</f>
        <v>416122</v>
      </c>
      <c r="F45" s="142"/>
      <c r="G45" s="36"/>
    </row>
    <row r="46" spans="1:10" ht="15" customHeight="1" thickBot="1" x14ac:dyDescent="0.25">
      <c r="A46" s="97"/>
      <c r="B46" s="109" t="s">
        <v>52</v>
      </c>
      <c r="C46" s="3" t="s">
        <v>53</v>
      </c>
      <c r="D46" s="142">
        <f>SUM('4.1 sz. mell'!D49+'---'!D35+'4.2 sz. mell'!D46+'........'!D35+'4.3.sz. mell. '!D46+'4.4 sz. mell.'!D47+'4.5.sz. mell.'!D47+'4.6.sz. mell.'!D47)</f>
        <v>91754</v>
      </c>
      <c r="E46" s="142">
        <f>SUM('4.1 sz. mell'!E49+'---'!E35+'4.2 sz. mell'!E46+'........'!E35+'4.3.sz. mell. '!E46+'4.4 sz. mell.'!E47+'4.5.sz. mell.'!E47+'4.6.sz. mell.'!E47)</f>
        <v>110108</v>
      </c>
      <c r="F46" s="142"/>
      <c r="G46" s="36"/>
    </row>
    <row r="47" spans="1:10" ht="15" customHeight="1" thickBot="1" x14ac:dyDescent="0.25">
      <c r="A47" s="97"/>
      <c r="B47" s="109" t="s">
        <v>54</v>
      </c>
      <c r="C47" s="3" t="s">
        <v>55</v>
      </c>
      <c r="D47" s="142">
        <f>SUM('4.1 sz. mell'!D50+'---'!D36+'4.2 sz. mell'!D47+'........'!D36+'4.3.sz. mell. '!D47+'4.4 sz. mell.'!D48+'4.5.sz. mell.'!D48+'4.6.sz. mell.'!D48)</f>
        <v>116326</v>
      </c>
      <c r="E47" s="142">
        <f>SUM('4.1 sz. mell'!E50+'---'!E36+'4.2 sz. mell'!E47+'........'!E36+'4.3.sz. mell. '!E47+'4.4 sz. mell.'!E48+'4.5.sz. mell.'!E48+'4.6.sz. mell.'!E48)</f>
        <v>122607</v>
      </c>
      <c r="F47" s="142"/>
      <c r="G47" s="36"/>
    </row>
    <row r="48" spans="1:10" ht="15" customHeight="1" thickBot="1" x14ac:dyDescent="0.25">
      <c r="A48" s="97"/>
      <c r="B48" s="109" t="s">
        <v>56</v>
      </c>
      <c r="C48" s="3" t="s">
        <v>57</v>
      </c>
      <c r="D48" s="142">
        <f>SUM('4.1 sz. mell'!D51+'---'!D37+'4.2 sz. mell'!D48+'........'!D37+'4.3.sz. mell. '!D48+'4.4 sz. mell.'!D49+'4.5.sz. mell.'!D49+'4.6.sz. mell.'!D49)</f>
        <v>23000</v>
      </c>
      <c r="E48" s="142">
        <f>SUM('4.1 sz. mell'!E51+'---'!E37+'4.2 sz. mell'!E48+'........'!E37+'4.3.sz. mell. '!E48+'4.4 sz. mell.'!E49+'4.5.sz. mell.'!E49+'4.6.sz. mell.'!E49)</f>
        <v>72806</v>
      </c>
      <c r="F48" s="142"/>
      <c r="G48" s="36"/>
    </row>
    <row r="49" spans="1:7" ht="15" customHeight="1" thickBot="1" x14ac:dyDescent="0.25">
      <c r="A49" s="97"/>
      <c r="B49" s="109" t="s">
        <v>58</v>
      </c>
      <c r="C49" s="3" t="s">
        <v>59</v>
      </c>
      <c r="D49" s="142">
        <f>SUM('4.1 sz. mell'!D52+'---'!D38+'4.2 sz. mell'!D49+'........'!D38+'4.3.sz. mell. '!D49+'4.4 sz. mell.'!D50+'4.5.sz. mell.'!D50+'4.6.sz. mell.'!D50)</f>
        <v>0</v>
      </c>
      <c r="E49" s="142">
        <f>SUM('4.1 sz. mell'!E52+'---'!E38+'4.2 sz. mell'!E49+'........'!E38+'4.3.sz. mell. '!E49+'4.4 sz. mell.'!E50+'4.5.sz. mell.'!E50+'4.6.sz. mell.'!E50)</f>
        <v>0</v>
      </c>
      <c r="F49" s="142">
        <f>SUM('4.1 sz. mell'!F52+'---'!F38+'4.2 sz. mell'!F49+'........'!F38+'4.3.sz. mell. '!F49+'4.4 sz. mell.'!F50+'4.5.sz. mell.'!F50+'4.6.sz. mell.'!F50)</f>
        <v>0</v>
      </c>
      <c r="G49" s="36"/>
    </row>
    <row r="50" spans="1:7" ht="15" hidden="1" customHeight="1" thickBot="1" x14ac:dyDescent="0.25">
      <c r="A50" s="97"/>
      <c r="B50" s="98"/>
      <c r="C50" s="3"/>
      <c r="D50" s="142"/>
      <c r="E50" s="142"/>
      <c r="F50" s="142"/>
      <c r="G50" s="36"/>
    </row>
    <row r="51" spans="1:7" ht="15" hidden="1" customHeight="1" thickBot="1" x14ac:dyDescent="0.25">
      <c r="A51" s="97"/>
      <c r="B51" s="98"/>
      <c r="C51" s="3"/>
      <c r="D51" s="142"/>
      <c r="E51" s="142"/>
      <c r="F51" s="142"/>
      <c r="G51" s="36"/>
    </row>
    <row r="52" spans="1:7" ht="18.75" customHeight="1" thickBot="1" x14ac:dyDescent="0.25">
      <c r="A52" s="1256" t="s">
        <v>3</v>
      </c>
      <c r="B52" s="2"/>
      <c r="C52" s="10" t="s">
        <v>1513</v>
      </c>
      <c r="D52" s="337" t="e">
        <f>SUM(D53:D56)</f>
        <v>#REF!</v>
      </c>
      <c r="E52" s="337" t="e">
        <f t="shared" ref="E52" si="6">SUM(E53:E56)</f>
        <v>#REF!</v>
      </c>
      <c r="F52" s="337">
        <f>SUM(F53:F56)</f>
        <v>0</v>
      </c>
      <c r="G52" s="36" t="e">
        <f t="shared" ref="G52:G59" si="7">SUM(F52/E52)*100</f>
        <v>#REF!</v>
      </c>
    </row>
    <row r="53" spans="1:7" s="125" customFormat="1" ht="15" customHeight="1" thickBot="1" x14ac:dyDescent="0.25">
      <c r="A53" s="113"/>
      <c r="B53" s="1165" t="s">
        <v>4</v>
      </c>
      <c r="C53" s="1151" t="s">
        <v>1173</v>
      </c>
      <c r="D53" s="142">
        <f>SUM('6.2.sz.mell.'!H105)</f>
        <v>0</v>
      </c>
      <c r="E53" s="142">
        <f>'4.1 sz. mell'!E54</f>
        <v>17440</v>
      </c>
      <c r="F53" s="142">
        <f>'4.1 sz. mell'!F54</f>
        <v>0</v>
      </c>
      <c r="G53" s="36">
        <f t="shared" si="7"/>
        <v>0</v>
      </c>
    </row>
    <row r="54" spans="1:7" ht="15" customHeight="1" thickBot="1" x14ac:dyDescent="0.25">
      <c r="A54" s="97"/>
      <c r="B54" s="1166" t="s">
        <v>6</v>
      </c>
      <c r="C54" s="1144" t="s">
        <v>64</v>
      </c>
      <c r="D54" s="142"/>
      <c r="E54" s="142"/>
      <c r="F54" s="142"/>
      <c r="G54" s="36"/>
    </row>
    <row r="55" spans="1:7" ht="15.75" customHeight="1" thickBot="1" x14ac:dyDescent="0.25">
      <c r="A55" s="97"/>
      <c r="B55" s="1166" t="s">
        <v>7</v>
      </c>
      <c r="C55" s="1144" t="s">
        <v>1500</v>
      </c>
      <c r="D55" s="142">
        <f>SUM('4.1 sz. mell'!D56+'---'!D42+'4.2 sz. mell'!D53+'........'!D42+'4.3.sz. mell. '!D53+'4.4 sz. mell.'!D54+'4.5.sz. mell.'!D54)</f>
        <v>0</v>
      </c>
      <c r="E55" s="142">
        <f>SUM('4.1 sz. mell'!E56+'---'!E42+'4.2 sz. mell'!E53+'........'!E42+'4.3.sz. mell. '!E53+'4.4 sz. mell.'!E54+'4.5.sz. mell.'!E54)</f>
        <v>0</v>
      </c>
      <c r="F55" s="142">
        <f>SUM('4.1 sz. mell'!F56+'---'!F42+'4.2 sz. mell'!F53+'........'!F42+'4.3.sz. mell. '!F53+'4.4 sz. mell.'!F54+'4.5.sz. mell.'!F54)</f>
        <v>0</v>
      </c>
      <c r="G55" s="36"/>
    </row>
    <row r="56" spans="1:7" ht="15" hidden="1" customHeight="1" thickBot="1" x14ac:dyDescent="0.25">
      <c r="A56" s="97"/>
      <c r="B56" s="98" t="s">
        <v>11</v>
      </c>
      <c r="C56" s="3" t="s">
        <v>513</v>
      </c>
      <c r="D56" s="142" t="e">
        <f>SUM('4.1 sz. mell'!#REF!+'---'!D43+'4.2 sz. mell'!D54+'........'!D43+'4.3.sz. mell. '!D54+'4.4 sz. mell.'!D55+'4.5.sz. mell.'!D55)</f>
        <v>#REF!</v>
      </c>
      <c r="E56" s="142" t="e">
        <f>SUM('4.1 sz. mell'!#REF!+'---'!E43+'4.2 sz. mell'!E54+'........'!E43+'4.3.sz. mell. '!E54+'4.4 sz. mell.'!E55+'4.5.sz. mell.'!E55)</f>
        <v>#REF!</v>
      </c>
      <c r="F56" s="142"/>
      <c r="G56" s="36"/>
    </row>
    <row r="57" spans="1:7" ht="15" customHeight="1" thickBot="1" x14ac:dyDescent="0.25">
      <c r="A57" s="114" t="s">
        <v>12</v>
      </c>
      <c r="B57" s="338"/>
      <c r="C57" s="339" t="s">
        <v>514</v>
      </c>
      <c r="D57" s="145">
        <f>SUM('4.1 sz. mell'!D57+'---'!D44+'4.2 sz. mell'!D55+'........'!D44+'4.3.sz. mell. '!D55+'4.4 sz. mell.'!D56+'4.5.sz. mell.'!D56)</f>
        <v>0</v>
      </c>
      <c r="E57" s="145">
        <f>SUM('4.1 sz. mell'!E57+'---'!E44+'4.2 sz. mell'!E55+'........'!E44+'4.3.sz. mell. '!E55+'4.4 sz. mell.'!E56+'4.5.sz. mell.'!E56)</f>
        <v>1200</v>
      </c>
      <c r="F57" s="145">
        <f>SUM('4.1 sz. mell'!F57+'---'!F44+'4.2 sz. mell'!F55+'........'!F44+'4.3.sz. mell. '!F55+'4.4 sz. mell.'!F56+'4.5.sz. mell.'!F56)</f>
        <v>0</v>
      </c>
      <c r="G57" s="36"/>
    </row>
    <row r="58" spans="1:7" s="99" customFormat="1" ht="15" customHeight="1" thickBot="1" x14ac:dyDescent="0.25">
      <c r="A58" s="1256"/>
      <c r="B58" s="2"/>
      <c r="C58" s="10"/>
      <c r="D58" s="119"/>
      <c r="E58" s="119"/>
      <c r="F58" s="119">
        <f>'4.1 sz. mell'!F58</f>
        <v>0</v>
      </c>
      <c r="G58" s="36"/>
    </row>
    <row r="59" spans="1:7" ht="19.5" customHeight="1" thickBot="1" x14ac:dyDescent="0.3">
      <c r="A59" s="150" t="s">
        <v>68</v>
      </c>
      <c r="B59" s="151"/>
      <c r="C59" s="335" t="s">
        <v>516</v>
      </c>
      <c r="D59" s="340" t="e">
        <f>+D44+D52+D57</f>
        <v>#REF!</v>
      </c>
      <c r="E59" s="340" t="e">
        <f t="shared" ref="E59" si="8">+E44+E52+E57</f>
        <v>#REF!</v>
      </c>
      <c r="F59" s="340">
        <f>+F44+F52+F57+F58</f>
        <v>0</v>
      </c>
      <c r="G59" s="36" t="e">
        <f t="shared" si="7"/>
        <v>#REF!</v>
      </c>
    </row>
    <row r="60" spans="1:7" ht="15" customHeight="1" thickBot="1" x14ac:dyDescent="0.25">
      <c r="A60" s="165"/>
      <c r="B60" s="166"/>
      <c r="C60" s="166"/>
      <c r="D60" s="132"/>
      <c r="E60" s="132"/>
      <c r="F60" s="132"/>
      <c r="G60" s="36"/>
    </row>
    <row r="61" spans="1:7" ht="15" customHeight="1" thickBot="1" x14ac:dyDescent="0.25">
      <c r="A61" s="1551" t="s">
        <v>136</v>
      </c>
      <c r="B61" s="1551"/>
      <c r="C61" s="1551"/>
      <c r="D61" s="341">
        <f>SUM('4.1 sz. mell'!D61+'---'!D48+'4.2 sz. mell'!D59+'........'!D48+'4.3.sz. mell. '!D59+'4.4 sz. mell.'!D60+'4.5.sz. mell.'!D60+'4.6.sz. mell.'!D60)</f>
        <v>104</v>
      </c>
      <c r="E61" s="341">
        <v>104</v>
      </c>
      <c r="F61" s="341"/>
      <c r="G61" s="341">
        <f>SUM('4.1 sz. mell'!G61+'---'!G48+'4.2 sz. mell'!G59+'........'!G48+'4.3.sz. mell. '!G59+'4.4 sz. mell.'!G60+'4.5.sz. mell.'!G60+'4.6.sz. mell.'!G60)</f>
        <v>0</v>
      </c>
    </row>
    <row r="62" spans="1:7" ht="15" customHeight="1" thickBot="1" x14ac:dyDescent="0.25">
      <c r="A62" s="1551" t="s">
        <v>137</v>
      </c>
      <c r="B62" s="1551"/>
      <c r="C62" s="1551"/>
      <c r="D62" s="119">
        <f>SUM('4.1 sz. mell'!D62+'---'!D49+'4.2 sz. mell'!D60+'........'!D49+'4.3.sz. mell. '!D60+'4.4 sz. mell.'!D61+'4.5.sz. mell.'!D61)</f>
        <v>0</v>
      </c>
      <c r="E62" s="119">
        <f>SUM('4.1 sz. mell'!E62+'---'!E49+'4.2 sz. mell'!E60+'........'!E49+'4.3.sz. mell. '!E60+'4.4 sz. mell.'!E61+'4.5.sz. mell.'!E61)</f>
        <v>0</v>
      </c>
      <c r="F62" s="119">
        <f>SUM('4.1 sz. mell'!F62+'---'!F49+'4.2 sz. mell'!F60+'........'!F49+'4.3.sz. mell. '!F60+'4.4 sz. mell.'!F61+'4.5.sz. mell.'!F61)</f>
        <v>0</v>
      </c>
      <c r="G62" s="119">
        <f>SUM('4.1 sz. mell'!G62+'---'!G49+'4.2 sz. mell'!G60+'........'!G49+'4.3.sz. mell. '!G60+'4.4 sz. mell.'!G61+'4.5.sz. mell.'!G61)</f>
        <v>0</v>
      </c>
    </row>
  </sheetData>
  <sheetProtection selectLockedCells="1" selectUnlockedCells="1"/>
  <mergeCells count="9">
    <mergeCell ref="A5:B5"/>
    <mergeCell ref="A61:C61"/>
    <mergeCell ref="A62:C62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3622047244094491" top="0.31496062992125984" bottom="0.47244094488188981" header="0.19685039370078741" footer="0.23622047244094491"/>
  <pageSetup paperSize="9" scale="70" firstPageNumber="61" orientation="portrait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view="pageBreakPreview" zoomScaleSheetLayoutView="100" workbookViewId="0">
      <selection activeCell="D1" sqref="D1:G1"/>
    </sheetView>
  </sheetViews>
  <sheetFormatPr defaultRowHeight="15" x14ac:dyDescent="0.2"/>
  <cols>
    <col min="1" max="1" width="9.6640625" style="75" customWidth="1"/>
    <col min="2" max="2" width="12.83203125" style="76" customWidth="1"/>
    <col min="3" max="3" width="60.6640625" style="76" customWidth="1"/>
    <col min="4" max="4" width="14.1640625" style="99" hidden="1" customWidth="1"/>
    <col min="5" max="5" width="18" style="99" hidden="1" customWidth="1"/>
    <col min="6" max="6" width="18" style="99" customWidth="1"/>
    <col min="7" max="7" width="12.83203125" style="99" hidden="1" customWidth="1"/>
    <col min="8" max="8" width="9.83203125" style="76" bestFit="1" customWidth="1"/>
    <col min="9" max="9" width="11.5" style="76" bestFit="1" customWidth="1"/>
    <col min="10" max="10" width="9.83203125" style="76" customWidth="1"/>
    <col min="11" max="16384" width="9.33203125" style="76"/>
  </cols>
  <sheetData>
    <row r="1" spans="1:10" s="326" customFormat="1" ht="21" customHeight="1" thickBot="1" x14ac:dyDescent="0.25">
      <c r="A1" s="323"/>
      <c r="B1" s="324"/>
      <c r="C1" s="325"/>
      <c r="D1" s="1552" t="s">
        <v>1791</v>
      </c>
      <c r="E1" s="1552"/>
      <c r="F1" s="1552"/>
      <c r="G1" s="1552"/>
    </row>
    <row r="2" spans="1:10" s="79" customFormat="1" ht="28.5" customHeight="1" thickBot="1" x14ac:dyDescent="0.25">
      <c r="A2" s="1522" t="s">
        <v>495</v>
      </c>
      <c r="B2" s="1522"/>
      <c r="C2" s="1254" t="s">
        <v>496</v>
      </c>
      <c r="D2" s="1523" t="s">
        <v>1024</v>
      </c>
      <c r="E2" s="343"/>
      <c r="F2" s="1523" t="s">
        <v>1420</v>
      </c>
      <c r="G2" s="1254"/>
    </row>
    <row r="3" spans="1:10" s="79" customFormat="1" ht="32.25" customHeight="1" thickBot="1" x14ac:dyDescent="0.25">
      <c r="A3" s="1528" t="s">
        <v>122</v>
      </c>
      <c r="B3" s="1528"/>
      <c r="C3" s="80" t="s">
        <v>1542</v>
      </c>
      <c r="D3" s="1524"/>
      <c r="E3" s="327"/>
      <c r="F3" s="1524"/>
      <c r="G3" s="327"/>
    </row>
    <row r="4" spans="1:10" s="83" customFormat="1" ht="15.95" customHeight="1" thickBot="1" x14ac:dyDescent="0.3">
      <c r="A4" s="81"/>
      <c r="B4" s="81"/>
      <c r="C4" s="81"/>
      <c r="D4" s="1527"/>
      <c r="E4" s="1527"/>
      <c r="F4" s="1527"/>
      <c r="G4" s="82" t="s">
        <v>79</v>
      </c>
    </row>
    <row r="5" spans="1:10" s="99" customFormat="1" ht="36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10" s="89" customFormat="1" ht="12.95" customHeight="1" thickBot="1" x14ac:dyDescent="0.25">
      <c r="A6" s="1255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10" s="89" customFormat="1" ht="20.25" customHeight="1" thickBot="1" x14ac:dyDescent="0.25">
      <c r="A7" s="328"/>
      <c r="B7" s="329"/>
      <c r="C7" s="329" t="s">
        <v>81</v>
      </c>
      <c r="D7" s="330"/>
      <c r="E7" s="330"/>
      <c r="F7" s="330"/>
      <c r="G7" s="330"/>
      <c r="J7" s="331"/>
    </row>
    <row r="8" spans="1:10" s="96" customFormat="1" ht="15" customHeight="1" thickBot="1" x14ac:dyDescent="0.25">
      <c r="A8" s="1256" t="s">
        <v>2</v>
      </c>
      <c r="B8" s="94"/>
      <c r="C8" s="1142" t="s">
        <v>1774</v>
      </c>
      <c r="D8" s="141">
        <f>SUM(D9:D18)</f>
        <v>0</v>
      </c>
      <c r="E8" s="141">
        <f t="shared" ref="E8:G8" si="0">SUM(E9:E18)</f>
        <v>0</v>
      </c>
      <c r="F8" s="141">
        <f t="shared" si="0"/>
        <v>0</v>
      </c>
      <c r="G8" s="141">
        <f t="shared" si="0"/>
        <v>0</v>
      </c>
      <c r="J8" s="331"/>
    </row>
    <row r="9" spans="1:10" s="96" customFormat="1" ht="15" customHeight="1" x14ac:dyDescent="0.2">
      <c r="A9" s="1257"/>
      <c r="B9" s="98" t="s">
        <v>50</v>
      </c>
      <c r="C9" s="1143" t="s">
        <v>1472</v>
      </c>
      <c r="D9" s="142">
        <f>SUM('4.1 sz. mell'!D9+'---'!D9+'4.2 sz. mell'!D9+'........'!D9+'4.3.sz. mell. '!D9+'4.4 sz. mell.'!D9+'4.5.sz. mell.'!D9)</f>
        <v>0</v>
      </c>
      <c r="E9" s="142">
        <f>SUM('4.1 sz. mell'!E9+'---'!E9+'4.2 sz. mell'!E9+'........'!E9+'4.3.sz. mell. '!E9+'4.4 sz. mell.'!E9+'4.5.sz. mell.'!E9)</f>
        <v>0</v>
      </c>
      <c r="F9" s="142">
        <f>SUM('4.1 sz. mell'!F9+'---'!F9+'4.2 sz. mell'!F9+'........'!F9+'4.3.sz. mell. '!F9+'4.4 sz. mell.'!F9+'4.5.sz. mell.'!F9)</f>
        <v>0</v>
      </c>
      <c r="G9" s="142">
        <f>SUM('4.1 sz. mell'!G9+'---'!G9+'4.2 sz. mell'!G9+'........'!G9+'4.3.sz. mell. '!G9+'4.4 sz. mell.'!G9+'4.5.sz. mell.'!G9)</f>
        <v>0</v>
      </c>
      <c r="J9" s="331"/>
    </row>
    <row r="10" spans="1:10" s="96" customFormat="1" ht="15" customHeight="1" x14ac:dyDescent="0.2">
      <c r="A10" s="97"/>
      <c r="B10" s="98" t="s">
        <v>52</v>
      </c>
      <c r="C10" s="1144" t="s">
        <v>1473</v>
      </c>
      <c r="D10" s="142">
        <f>SUM('4.1 sz. mell'!D10+'---'!D10+'4.2 sz. mell'!D10+'........'!D10+'4.3.sz. mell. '!D10+'4.4 sz. mell.'!D10+'4.5.sz. mell.'!D10)</f>
        <v>0</v>
      </c>
      <c r="E10" s="142">
        <f>SUM('4.1 sz. mell'!E10+'---'!E10+'4.2 sz. mell'!E10+'........'!E10+'4.3.sz. mell. '!E10+'4.4 sz. mell.'!E10+'4.5.sz. mell.'!E10)</f>
        <v>0</v>
      </c>
      <c r="F10" s="142">
        <f>SUM('4.1 sz. mell'!F10+'---'!F10+'4.2 sz. mell'!F10+'........'!F10+'4.3.sz. mell. '!F10+'4.4 sz. mell.'!F10+'4.5.sz. mell.'!F10)</f>
        <v>0</v>
      </c>
      <c r="G10" s="142">
        <f>SUM('4.1 sz. mell'!G10+'---'!G10+'4.2 sz. mell'!G10+'........'!G10+'4.3.sz. mell. '!G10+'4.4 sz. mell.'!G10+'4.5.sz. mell.'!G10)</f>
        <v>0</v>
      </c>
      <c r="J10" s="331"/>
    </row>
    <row r="11" spans="1:10" s="96" customFormat="1" ht="15" customHeight="1" x14ac:dyDescent="0.2">
      <c r="A11" s="97"/>
      <c r="B11" s="98" t="s">
        <v>54</v>
      </c>
      <c r="C11" s="1144" t="s">
        <v>1474</v>
      </c>
      <c r="D11" s="142">
        <f>SUM('4.1 sz. mell'!D11+'---'!D11+'4.2 sz. mell'!D11+'........'!D11+'4.3.sz. mell. '!D11+'4.4 sz. mell.'!D11+'4.5.sz. mell.'!D11)</f>
        <v>0</v>
      </c>
      <c r="E11" s="142">
        <f>SUM('4.1 sz. mell'!E11+'---'!E11+'4.2 sz. mell'!E11+'........'!E11+'4.3.sz. mell. '!E11+'4.4 sz. mell.'!E11+'4.5.sz. mell.'!E11)</f>
        <v>0</v>
      </c>
      <c r="F11" s="142">
        <f>SUM('4.1 sz. mell'!F11+'---'!F11+'4.2 sz. mell'!F11+'........'!F11+'4.3.sz. mell. '!F11+'4.4 sz. mell.'!F11+'4.5.sz. mell.'!F11)</f>
        <v>0</v>
      </c>
      <c r="G11" s="142">
        <f>SUM('4.1 sz. mell'!G11+'---'!G11+'4.2 sz. mell'!G11+'........'!G11+'4.3.sz. mell. '!G11+'4.4 sz. mell.'!G11+'4.5.sz. mell.'!G11)</f>
        <v>0</v>
      </c>
      <c r="J11" s="331"/>
    </row>
    <row r="12" spans="1:10" s="96" customFormat="1" ht="15" customHeight="1" x14ac:dyDescent="0.2">
      <c r="A12" s="97"/>
      <c r="B12" s="98" t="s">
        <v>56</v>
      </c>
      <c r="C12" s="1144" t="s">
        <v>1475</v>
      </c>
      <c r="D12" s="142">
        <f>SUM('4.1 sz. mell'!D12+'---'!D12+'4.2 sz. mell'!D12+'........'!D12+'4.3.sz. mell. '!D12+'4.4 sz. mell.'!D12+'4.5.sz. mell.'!D12)</f>
        <v>0</v>
      </c>
      <c r="E12" s="142">
        <f>SUM('4.1 sz. mell'!E12+'---'!E12+'4.2 sz. mell'!E12+'........'!E12+'4.3.sz. mell. '!E12+'4.4 sz. mell.'!E12+'4.5.sz. mell.'!E12)</f>
        <v>0</v>
      </c>
      <c r="F12" s="142">
        <f>SUM('4.1 sz. mell'!F12+'---'!F12+'4.2 sz. mell'!F12+'........'!F12+'4.3.sz. mell. '!F12+'4.4 sz. mell.'!F12+'4.5.sz. mell.'!F12)</f>
        <v>0</v>
      </c>
      <c r="G12" s="142">
        <f>SUM('4.1 sz. mell'!G12+'---'!G12+'4.2 sz. mell'!G12+'........'!G12+'4.3.sz. mell. '!G12+'4.4 sz. mell.'!G12+'4.5.sz. mell.'!G12)</f>
        <v>0</v>
      </c>
      <c r="J12" s="331"/>
    </row>
    <row r="13" spans="1:10" s="96" customFormat="1" ht="15" customHeight="1" x14ac:dyDescent="0.2">
      <c r="A13" s="97"/>
      <c r="B13" s="98" t="s">
        <v>227</v>
      </c>
      <c r="C13" s="5" t="s">
        <v>1476</v>
      </c>
      <c r="D13" s="142">
        <f>SUM('4.1 sz. mell'!D13+'---'!D13+'4.2 sz. mell'!D13+'........'!D13+'4.3.sz. mell. '!D13+'4.4 sz. mell.'!D13+'4.5.sz. mell.'!D13)</f>
        <v>0</v>
      </c>
      <c r="E13" s="142">
        <f>SUM('4.1 sz. mell'!E13+'---'!E13+'4.2 sz. mell'!E13+'........'!E13+'4.3.sz. mell. '!E13+'4.4 sz. mell.'!E13+'4.5.sz. mell.'!E13)</f>
        <v>0</v>
      </c>
      <c r="F13" s="142">
        <f>SUM('4.1 sz. mell'!F13+'---'!F13+'4.2 sz. mell'!F13+'........'!F13+'4.3.sz. mell. '!F13+'4.4 sz. mell.'!F13+'4.5.sz. mell.'!F13)</f>
        <v>0</v>
      </c>
      <c r="G13" s="142">
        <f>SUM('4.1 sz. mell'!G13+'---'!G13+'4.2 sz. mell'!G13+'........'!G13+'4.3.sz. mell. '!G13+'4.4 sz. mell.'!G13+'4.5.sz. mell.'!G13)</f>
        <v>0</v>
      </c>
    </row>
    <row r="14" spans="1:10" s="96" customFormat="1" ht="15" customHeight="1" x14ac:dyDescent="0.2">
      <c r="A14" s="100"/>
      <c r="B14" s="98" t="s">
        <v>228</v>
      </c>
      <c r="C14" s="1144" t="s">
        <v>1477</v>
      </c>
      <c r="D14" s="142">
        <f>SUM('4.1 sz. mell'!D14+'---'!D14+'4.2 sz. mell'!D14+'........'!D14+'4.3.sz. mell. '!D14+'4.4 sz. mell.'!D14+'4.5.sz. mell.'!D14)</f>
        <v>0</v>
      </c>
      <c r="E14" s="142">
        <f>SUM('4.1 sz. mell'!E14+'---'!E14+'4.2 sz. mell'!E14+'........'!E14+'4.3.sz. mell. '!E14+'4.4 sz. mell.'!E14+'4.5.sz. mell.'!E14)</f>
        <v>0</v>
      </c>
      <c r="F14" s="142">
        <f>SUM('4.1 sz. mell'!F14+'---'!F14+'4.2 sz. mell'!F14+'........'!F14+'4.3.sz. mell. '!F14+'4.4 sz. mell.'!F14+'4.5.sz. mell.'!F14)</f>
        <v>0</v>
      </c>
      <c r="G14" s="142">
        <f>SUM('4.1 sz. mell'!G14+'---'!G14+'4.2 sz. mell'!G14+'........'!G14+'4.3.sz. mell. '!G14+'4.4 sz. mell.'!G14+'4.5.sz. mell.'!G14)</f>
        <v>0</v>
      </c>
      <c r="J14" s="331"/>
    </row>
    <row r="15" spans="1:10" s="99" customFormat="1" ht="15" customHeight="1" x14ac:dyDescent="0.2">
      <c r="A15" s="97"/>
      <c r="B15" s="98" t="s">
        <v>230</v>
      </c>
      <c r="C15" s="1144" t="s">
        <v>1478</v>
      </c>
      <c r="D15" s="142">
        <f>SUM('4.1 sz. mell'!D15+'---'!D15+'4.2 sz. mell'!D15+'........'!D15+'4.3.sz. mell. '!D15+'4.4 sz. mell.'!D15+'4.5.sz. mell.'!D15)</f>
        <v>0</v>
      </c>
      <c r="E15" s="142">
        <f>SUM('4.1 sz. mell'!E15+'---'!E15+'4.2 sz. mell'!E15+'........'!E15+'4.3.sz. mell. '!E15+'4.4 sz. mell.'!E15+'4.5.sz. mell.'!E15)</f>
        <v>0</v>
      </c>
      <c r="F15" s="142">
        <f>SUM('4.1 sz. mell'!F15+'---'!F15+'4.2 sz. mell'!F15+'........'!F15+'4.3.sz. mell. '!F15+'4.4 sz. mell.'!F15+'4.5.sz. mell.'!F15)</f>
        <v>0</v>
      </c>
      <c r="G15" s="142">
        <f>SUM('4.1 sz. mell'!G15+'---'!G15+'4.2 sz. mell'!G15+'........'!G15+'4.3.sz. mell. '!G15+'4.4 sz. mell.'!G15+'4.5.sz. mell.'!G15)</f>
        <v>0</v>
      </c>
      <c r="J15" s="331"/>
    </row>
    <row r="16" spans="1:10" s="99" customFormat="1" ht="15" customHeight="1" x14ac:dyDescent="0.2">
      <c r="A16" s="1214"/>
      <c r="B16" s="105" t="s">
        <v>232</v>
      </c>
      <c r="C16" s="1144" t="s">
        <v>1479</v>
      </c>
      <c r="D16" s="1296"/>
      <c r="E16" s="1296"/>
      <c r="F16" s="1296"/>
      <c r="G16" s="1296"/>
      <c r="J16" s="331"/>
    </row>
    <row r="17" spans="1:10" s="99" customFormat="1" ht="15" customHeight="1" x14ac:dyDescent="0.2">
      <c r="A17" s="1214"/>
      <c r="B17" s="1146" t="s">
        <v>234</v>
      </c>
      <c r="C17" s="1149" t="s">
        <v>1480</v>
      </c>
      <c r="D17" s="1296"/>
      <c r="E17" s="1296"/>
      <c r="F17" s="1296"/>
      <c r="G17" s="1296"/>
      <c r="J17" s="33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2">
        <f>SUM('4.1 sz. mell'!D18+'---'!D16+'4.2 sz. mell'!D18+'........'!D16+'4.3.sz. mell. '!D18+'4.4 sz. mell.'!D18+'4.5.sz. mell.'!D18)</f>
        <v>0</v>
      </c>
      <c r="E18" s="142">
        <f>SUM('4.1 sz. mell'!E18+'---'!E16+'4.2 sz. mell'!E18+'........'!E16+'4.3.sz. mell. '!E18+'4.4 sz. mell.'!E18+'4.5.sz. mell.'!E18)</f>
        <v>0</v>
      </c>
      <c r="F18" s="142">
        <f>SUM('4.1 sz. mell'!F18+'---'!F16+'4.2 sz. mell'!F18+'........'!F16+'4.3.sz. mell. '!F18+'4.4 sz. mell.'!F18+'4.5.sz. mell.'!F18)</f>
        <v>0</v>
      </c>
      <c r="G18" s="142">
        <f>SUM('4.1 sz. mell'!G18+'---'!G16+'4.2 sz. mell'!G18+'........'!G16+'4.3.sz. mell. '!G18+'4.4 sz. mell.'!G18+'4.5.sz. mell.'!G18)</f>
        <v>0</v>
      </c>
      <c r="J18" s="331"/>
    </row>
    <row r="19" spans="1:10" s="96" customFormat="1" ht="30" customHeight="1" thickBot="1" x14ac:dyDescent="0.25">
      <c r="A19" s="1256" t="s">
        <v>3</v>
      </c>
      <c r="B19" s="94"/>
      <c r="C19" s="1142" t="s">
        <v>1482</v>
      </c>
      <c r="D19" s="141">
        <f>SUM(D20:D25)</f>
        <v>54666</v>
      </c>
      <c r="E19" s="141">
        <f t="shared" ref="E19:G19" si="1">SUM(E20:E25)</f>
        <v>110160</v>
      </c>
      <c r="F19" s="141">
        <f>SUM(F20+F24+F25)</f>
        <v>0</v>
      </c>
      <c r="G19" s="141">
        <f t="shared" si="1"/>
        <v>0</v>
      </c>
    </row>
    <row r="20" spans="1:10" s="99" customFormat="1" ht="31.5" customHeight="1" x14ac:dyDescent="0.2">
      <c r="A20" s="97"/>
      <c r="B20" s="98" t="s">
        <v>4</v>
      </c>
      <c r="C20" s="1151" t="s">
        <v>1483</v>
      </c>
      <c r="D20" s="142">
        <f>SUM('4.1 sz. mell'!D20+'---'!D18+'4.2 sz. mell'!D20+'........'!D18+'4.3.sz. mell. '!D20+'4.4 sz. mell.'!D20+'4.5.sz. mell.'!D20+'4.6.sz. mell.'!D20)</f>
        <v>54666</v>
      </c>
      <c r="E20" s="142">
        <f>SUM('4.1 sz. mell'!E20+'---'!E18+'4.2 sz. mell'!E20+'........'!E18+'4.3.sz. mell. '!E20+'4.4 sz. mell.'!E20+'4.5.sz. mell.'!E20+'4.6.sz. mell.'!E20)</f>
        <v>110160</v>
      </c>
      <c r="F20" s="142">
        <f>SUM(F21:F22)</f>
        <v>0</v>
      </c>
      <c r="G20" s="142">
        <f>SUM('4.1 sz. mell'!G20+'---'!G18+'4.2 sz. mell'!G20+'........'!G18+'4.3.sz. mell. '!G20+'4.4 sz. mell.'!G20+'4.5.sz. mell.'!G20+'4.6.sz. mell.'!G20)</f>
        <v>0</v>
      </c>
      <c r="H20" s="96"/>
      <c r="I20" s="96"/>
      <c r="J20" s="96"/>
    </row>
    <row r="21" spans="1:10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  <c r="H21" s="96"/>
      <c r="I21" s="96"/>
      <c r="J21" s="96"/>
    </row>
    <row r="22" spans="1:10" s="99" customFormat="1" ht="30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  <c r="H22" s="96"/>
      <c r="I22" s="96"/>
      <c r="J22" s="96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f>SUM('4.1 sz. mell'!D23+'---'!D19+'4.2 sz. mell'!D23+'........'!D19+'4.3.sz. mell. '!D23+'4.4 sz. mell.'!D23+'4.5.sz. mell.'!D23)</f>
        <v>0</v>
      </c>
      <c r="E23" s="142">
        <f>SUM('4.1 sz. mell'!E23+'---'!E19+'4.2 sz. mell'!E23+'........'!E19+'4.3.sz. mell. '!E23+'4.4 sz. mell.'!E23+'4.5.sz. mell.'!E23)</f>
        <v>0</v>
      </c>
      <c r="F23" s="142">
        <f>SUM('4.1 sz. mell'!F23+'---'!F19+'4.2 sz. mell'!F23+'........'!F19+'4.3.sz. mell. '!F23+'4.4 sz. mell.'!F23+'4.5.sz. mell.'!F23)</f>
        <v>0</v>
      </c>
      <c r="G23" s="142">
        <f>SUM('4.1 sz. mell'!G23+'---'!G19+'4.2 sz. mell'!G23+'........'!G19+'4.3.sz. mell. '!G23+'4.4 sz. mell.'!G23+'4.5.sz. mell.'!G23)</f>
        <v>0</v>
      </c>
      <c r="H23" s="96"/>
      <c r="I23" s="96"/>
      <c r="J23" s="96"/>
    </row>
    <row r="24" spans="1:10" s="99" customFormat="1" ht="15" customHeight="1" x14ac:dyDescent="0.2">
      <c r="A24" s="97"/>
      <c r="B24" s="1148" t="s">
        <v>6</v>
      </c>
      <c r="C24" s="1144" t="s">
        <v>1485</v>
      </c>
      <c r="D24" s="142">
        <f>SUM('4.1 sz. mell'!D24+'---'!D20+'4.2 sz. mell'!D24+'........'!D20+'4.3.sz. mell. '!D24+'4.4 sz. mell.'!D24+'4.5.sz. mell.'!D24)</f>
        <v>0</v>
      </c>
      <c r="E24" s="142">
        <f>SUM('4.1 sz. mell'!E24+'---'!E20+'4.2 sz. mell'!E24+'........'!E20+'4.3.sz. mell. '!E24+'4.4 sz. mell.'!E24+'4.5.sz. mell.'!E24)</f>
        <v>0</v>
      </c>
      <c r="F24" s="142">
        <f>SUM('4.1 sz. mell'!F24+'---'!F20+'4.2 sz. mell'!F24+'........'!F20+'4.3.sz. mell. '!F24+'4.4 sz. mell.'!F24+'4.5.sz. mell.'!F24)</f>
        <v>0</v>
      </c>
      <c r="G24" s="142">
        <f>SUM('4.1 sz. mell'!G24+'---'!G20+'4.2 sz. mell'!G24+'........'!G20+'4.3.sz. mell. '!G24+'4.4 sz. mell.'!G24+'4.5.sz. mell.'!G24)</f>
        <v>0</v>
      </c>
      <c r="H24" s="96"/>
      <c r="I24" s="96"/>
      <c r="J24" s="96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5">
        <f>SUM('4.1 sz. mell'!D25+'---'!D21+'4.2 sz. mell'!D25+'........'!D21+'4.3.sz. mell. '!D25+'4.4 sz. mell.'!D25+'4.5.sz. mell.'!D25)</f>
        <v>0</v>
      </c>
      <c r="E25" s="145">
        <f>SUM('4.1 sz. mell'!E25+'---'!E21+'4.2 sz. mell'!E25+'........'!E21+'4.3.sz. mell. '!E25+'4.4 sz. mell.'!E25+'4.5.sz. mell.'!E25)</f>
        <v>0</v>
      </c>
      <c r="F25" s="145">
        <f>SUM('4.1 sz. mell'!F25+'---'!F21+'4.2 sz. mell'!F25+'........'!F21+'4.3.sz. mell. '!F25+'4.4 sz. mell.'!F25+'4.5.sz. mell.'!F25)</f>
        <v>0</v>
      </c>
      <c r="G25" s="145">
        <f>SUM('4.1 sz. mell'!G25+'---'!G21+'4.2 sz. mell'!G25+'........'!G21+'4.3.sz. mell. '!G25+'4.4 sz. mell.'!G25+'4.5.sz. mell.'!G25)</f>
        <v>0</v>
      </c>
      <c r="H25" s="96"/>
      <c r="I25" s="96"/>
      <c r="J25" s="96"/>
    </row>
    <row r="26" spans="1:10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  <c r="H26" s="96"/>
      <c r="I26" s="96"/>
      <c r="J26" s="96"/>
    </row>
    <row r="27" spans="1:10" s="99" customFormat="1" ht="30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  <c r="H27" s="96"/>
      <c r="I27" s="96"/>
      <c r="J27" s="96"/>
    </row>
    <row r="28" spans="1:10" s="99" customFormat="1" ht="15" customHeight="1" thickBot="1" x14ac:dyDescent="0.25">
      <c r="A28" s="1256" t="s">
        <v>68</v>
      </c>
      <c r="B28" s="94"/>
      <c r="C28" s="1156" t="s">
        <v>1505</v>
      </c>
      <c r="D28" s="332">
        <f>SUM('4.1 sz. mell'!D28+'---'!D22+'4.2 sz. mell'!D28+'........'!D22+'4.3.sz. mell. '!D28+'4.4 sz. mell.'!D28+'4.5.sz. mell.'!D28)</f>
        <v>0</v>
      </c>
      <c r="E28" s="332">
        <f>SUM('4.1 sz. mell'!E28+'---'!E22+'4.2 sz. mell'!E28+'........'!E22+'4.3.sz. mell. '!E28+'4.4 sz. mell.'!E28+'4.5.sz. mell.'!E28)</f>
        <v>0</v>
      </c>
      <c r="F28" s="332">
        <f>SUM('4.1 sz. mell'!F28+'---'!F22+'4.2 sz. mell'!F28+'........'!F22+'4.3.sz. mell. '!F28+'4.4 sz. mell.'!F28+'4.5.sz. mell.'!F28)</f>
        <v>0</v>
      </c>
      <c r="G28" s="332">
        <f>SUM('4.1 sz. mell'!G28+'---'!G22+'4.2 sz. mell'!G28+'........'!G22+'4.3.sz. mell. '!G28+'4.4 sz. mell.'!G28+'4.5.sz. mell.'!G28)</f>
        <v>0</v>
      </c>
      <c r="H28" s="96"/>
      <c r="I28" s="96"/>
      <c r="J28" s="96"/>
    </row>
    <row r="29" spans="1:10" s="99" customFormat="1" ht="15" customHeight="1" thickBot="1" x14ac:dyDescent="0.25">
      <c r="A29" s="97"/>
      <c r="B29" s="1160" t="s">
        <v>133</v>
      </c>
      <c r="C29" s="1144" t="s">
        <v>1489</v>
      </c>
      <c r="D29" s="1312"/>
      <c r="E29" s="1312"/>
      <c r="F29" s="1312"/>
      <c r="G29" s="1312"/>
      <c r="H29" s="96"/>
      <c r="I29" s="96"/>
      <c r="J29" s="96"/>
    </row>
    <row r="30" spans="1:10" s="99" customFormat="1" ht="15" customHeight="1" thickBot="1" x14ac:dyDescent="0.25">
      <c r="A30" s="97"/>
      <c r="B30" s="1160" t="s">
        <v>983</v>
      </c>
      <c r="C30" s="1144" t="s">
        <v>1490</v>
      </c>
      <c r="D30" s="1312"/>
      <c r="E30" s="1312"/>
      <c r="F30" s="1312"/>
      <c r="G30" s="1312"/>
      <c r="H30" s="96"/>
      <c r="I30" s="96"/>
      <c r="J30" s="96"/>
    </row>
    <row r="31" spans="1:10" s="99" customFormat="1" ht="15" customHeight="1" thickBot="1" x14ac:dyDescent="0.25">
      <c r="A31" s="97"/>
      <c r="B31" s="1160" t="s">
        <v>149</v>
      </c>
      <c r="C31" s="1144" t="s">
        <v>1491</v>
      </c>
      <c r="D31" s="1312"/>
      <c r="E31" s="1312"/>
      <c r="F31" s="1312"/>
      <c r="G31" s="1312"/>
      <c r="H31" s="96"/>
      <c r="I31" s="96"/>
      <c r="J31" s="96"/>
    </row>
    <row r="32" spans="1:10" s="99" customFormat="1" ht="30" customHeight="1" thickBot="1" x14ac:dyDescent="0.25">
      <c r="A32" s="1256">
        <v>5</v>
      </c>
      <c r="B32" s="1161"/>
      <c r="C32" s="1156" t="s">
        <v>1506</v>
      </c>
      <c r="D32" s="119">
        <f>SUM('4.1 sz. mell'!D32+'---'!D23+'4.2 sz. mell'!D32+'........'!D23+'4.3.sz. mell. '!D32+'4.4 sz. mell.'!D31+'4.5.sz. mell.'!D31)</f>
        <v>0</v>
      </c>
      <c r="E32" s="119">
        <f>SUM('4.1 sz. mell'!E32+'---'!E23+'4.2 sz. mell'!E32+'........'!E23+'4.3.sz. mell. '!E32+'4.4 sz. mell.'!E31+'4.5.sz. mell.'!E31)</f>
        <v>0</v>
      </c>
      <c r="F32" s="119">
        <f>SUM('4.1 sz. mell'!F32+'---'!F23+'4.2 sz. mell'!F32+'........'!F23+'4.3.sz. mell. '!F32+'4.4 sz. mell.'!F31+'4.5.sz. mell.'!F31)</f>
        <v>0</v>
      </c>
      <c r="G32" s="119">
        <f>SUM('4.1 sz. mell'!G32+'---'!G23+'4.2 sz. mell'!G32+'........'!G23+'4.3.sz. mell. '!G32+'4.4 sz. mell.'!G31+'4.5.sz. mell.'!G31)</f>
        <v>0</v>
      </c>
      <c r="H32" s="96"/>
      <c r="I32" s="96"/>
      <c r="J32" s="96"/>
    </row>
    <row r="33" spans="1:10" s="99" customFormat="1" ht="30.75" customHeight="1" thickBot="1" x14ac:dyDescent="0.25">
      <c r="A33" s="1216"/>
      <c r="B33" s="1162" t="s">
        <v>28</v>
      </c>
      <c r="C33" s="1151" t="s">
        <v>1492</v>
      </c>
      <c r="D33" s="1224"/>
      <c r="E33" s="1224"/>
      <c r="F33" s="1224"/>
      <c r="G33" s="1224"/>
      <c r="H33" s="96"/>
      <c r="I33" s="96"/>
      <c r="J33" s="96"/>
    </row>
    <row r="34" spans="1:10" s="99" customFormat="1" ht="15" customHeight="1" thickBot="1" x14ac:dyDescent="0.3">
      <c r="A34" s="1216" t="s">
        <v>32</v>
      </c>
      <c r="B34" s="117"/>
      <c r="C34" s="1142" t="s">
        <v>1493</v>
      </c>
      <c r="D34" s="1224"/>
      <c r="E34" s="1224"/>
      <c r="F34" s="1224"/>
      <c r="G34" s="1224"/>
      <c r="H34" s="96"/>
      <c r="I34" s="96"/>
      <c r="J34" s="96"/>
    </row>
    <row r="35" spans="1:10" s="96" customFormat="1" ht="30.75" customHeight="1" thickBot="1" x14ac:dyDescent="0.25">
      <c r="A35" s="1216"/>
      <c r="B35" s="1164" t="s">
        <v>33</v>
      </c>
      <c r="C35" s="1144" t="s">
        <v>1494</v>
      </c>
      <c r="D35" s="119">
        <f>SUM('4.1 sz. mell'!D36+'---'!D24+'4.2 sz. mell'!D33+'........'!D24+'4.3.sz. mell. '!D33+'4.4 sz. mell.'!D32+'4.5.sz. mell.'!D32)</f>
        <v>0</v>
      </c>
      <c r="E35" s="119">
        <f>SUM('4.1 sz. mell'!E36+'---'!E24+'4.2 sz. mell'!E33+'........'!E24+'4.3.sz. mell. '!E33+'4.4 sz. mell.'!E32+'4.5.sz. mell.'!E32)</f>
        <v>0</v>
      </c>
      <c r="F35" s="119">
        <f>SUM('4.1 sz. mell'!F36+'---'!F24+'4.2 sz. mell'!F33+'........'!F24+'4.3.sz. mell. '!F33+'4.4 sz. mell.'!F32+'4.5.sz. mell.'!F32)</f>
        <v>0</v>
      </c>
      <c r="G35" s="119">
        <f>SUM('4.1 sz. mell'!G36+'---'!G24+'4.2 sz. mell'!G33+'........'!G24+'4.3.sz. mell. '!G33+'4.4 sz. mell.'!G32+'4.5.sz. mell.'!G32)</f>
        <v>0</v>
      </c>
    </row>
    <row r="36" spans="1:10" s="96" customFormat="1" ht="15" customHeight="1" thickBot="1" x14ac:dyDescent="0.3">
      <c r="A36" s="1256" t="s">
        <v>74</v>
      </c>
      <c r="B36" s="117"/>
      <c r="C36" s="1156" t="s">
        <v>1495</v>
      </c>
      <c r="D36" s="333">
        <f>+D37+D38</f>
        <v>0</v>
      </c>
      <c r="E36" s="333">
        <f t="shared" ref="E36:G36" si="2">+E37+E38</f>
        <v>2614</v>
      </c>
      <c r="F36" s="333">
        <f>SUM(F37:F39)</f>
        <v>148081</v>
      </c>
      <c r="G36" s="333">
        <f t="shared" si="2"/>
        <v>0</v>
      </c>
    </row>
    <row r="37" spans="1:10" s="96" customFormat="1" ht="15" customHeight="1" x14ac:dyDescent="0.2">
      <c r="A37" s="1257"/>
      <c r="B37" s="1160" t="s">
        <v>36</v>
      </c>
      <c r="C37" s="1144" t="s">
        <v>1496</v>
      </c>
      <c r="D37" s="142">
        <f>SUM('4.1 sz. mell'!D38+'---'!D26+'4.2 sz. mell'!D37+'........'!D26+'4.3.sz. mell. '!D37+'4.4 sz. mell.'!D37+'4.5.sz. mell.'!D38)</f>
        <v>0</v>
      </c>
      <c r="E37" s="142">
        <f>SUM('4.1 sz. mell'!E38+'---'!E26+'4.2 sz. mell'!E37+'........'!E26+'4.3.sz. mell. '!E37+'4.4 sz. mell.'!E37+'4.5.sz. mell.'!E38)</f>
        <v>2614</v>
      </c>
      <c r="F37" s="142">
        <f>SUM('4.1 sz. mell'!F38+'---'!F26+'4.2 sz. mell'!F37+'........'!F26+'4.3.sz. mell. '!F37+'4.4 sz. mell.'!F37+'4.5.sz. mell.'!F38)</f>
        <v>0</v>
      </c>
      <c r="G37" s="142">
        <f>SUM('4.1 sz. mell'!G38+'---'!G26+'4.2 sz. mell'!G37+'........'!G26+'4.3.sz. mell. '!G37+'4.4 sz. mell.'!G37+'4.5.sz. mell.'!G38)</f>
        <v>0</v>
      </c>
    </row>
    <row r="38" spans="1:10" s="96" customFormat="1" ht="15" customHeight="1" thickBot="1" x14ac:dyDescent="0.25">
      <c r="A38" s="1258"/>
      <c r="B38" s="1160" t="s">
        <v>37</v>
      </c>
      <c r="C38" s="1144" t="s">
        <v>1497</v>
      </c>
      <c r="D38" s="145">
        <f>SUM('4.1 sz. mell'!D39+'---'!D27+'4.2 sz. mell'!D38+'........'!D27+'4.3.sz. mell. '!D38+'4.4 sz. mell.'!D38+'4.5.sz. mell.'!D39)</f>
        <v>0</v>
      </c>
      <c r="E38" s="145">
        <f>SUM('4.1 sz. mell'!E39+'---'!E27+'4.2 sz. mell'!E38+'........'!E27+'4.3.sz. mell. '!E38+'4.4 sz. mell.'!E38+'4.5.sz. mell.'!E39)</f>
        <v>0</v>
      </c>
      <c r="F38" s="145">
        <f>SUM('4.1 sz. mell'!F39+'---'!F27+'4.2 sz. mell'!F38+'........'!F27+'4.3.sz. mell. '!F38+'4.4 sz. mell.'!F38+'4.5.sz. mell.'!F39)</f>
        <v>0</v>
      </c>
      <c r="G38" s="145">
        <f>SUM('4.1 sz. mell'!G39+'---'!G27+'4.2 sz. mell'!G38+'........'!G27+'4.3.sz. mell. '!G38+'4.4 sz. mell.'!G38+'4.5.sz. mell.'!G39)</f>
        <v>0</v>
      </c>
    </row>
    <row r="39" spans="1:10" s="99" customFormat="1" ht="15" customHeight="1" thickBot="1" x14ac:dyDescent="0.25">
      <c r="A39" s="116"/>
      <c r="B39" s="1160" t="s">
        <v>1499</v>
      </c>
      <c r="C39" s="1144" t="s">
        <v>1498</v>
      </c>
      <c r="D39" s="145">
        <f>'4.1 sz. mell'!D40+'---'!D28+'4.2 sz. mell'!D39+'........'!D28+'4.3.sz. mell. '!D39+'4.4 sz. mell.'!D39+'4.5.sz. mell.'!D40+'4.6.sz. mell.'!D39</f>
        <v>548607</v>
      </c>
      <c r="E39" s="145">
        <f>'4.1 sz. mell'!E40+'---'!E28+'4.2 sz. mell'!E39+'........'!E28+'4.3.sz. mell. '!E39+'4.4 sz. mell.'!E39+'4.5.sz. mell.'!E40+'4.6.sz. mell.'!E39</f>
        <v>627509</v>
      </c>
      <c r="F39" s="145">
        <f>SUM(F40:F41)</f>
        <v>148081</v>
      </c>
      <c r="G39" s="36">
        <f t="shared" ref="G39:G43" si="3">SUM(F39/E39)*100</f>
        <v>23.598227276421532</v>
      </c>
      <c r="H39" s="96"/>
      <c r="I39" s="674">
        <f>SUM(F61-F43)</f>
        <v>0</v>
      </c>
      <c r="J39" s="96"/>
    </row>
    <row r="40" spans="1:10" s="99" customFormat="1" ht="15" customHeight="1" thickBot="1" x14ac:dyDescent="0.25">
      <c r="A40" s="1421"/>
      <c r="B40" s="1413" t="s">
        <v>1777</v>
      </c>
      <c r="C40" s="1414" t="s">
        <v>1775</v>
      </c>
      <c r="D40" s="1224"/>
      <c r="E40" s="1224"/>
      <c r="F40" s="1423">
        <v>19128</v>
      </c>
      <c r="G40" s="1425"/>
      <c r="H40" s="96"/>
      <c r="I40" s="674"/>
      <c r="J40" s="96"/>
    </row>
    <row r="41" spans="1:10" s="99" customFormat="1" ht="15" customHeight="1" thickBot="1" x14ac:dyDescent="0.25">
      <c r="A41" s="1421"/>
      <c r="B41" s="1417" t="s">
        <v>1778</v>
      </c>
      <c r="C41" s="1418" t="s">
        <v>1776</v>
      </c>
      <c r="D41" s="1224"/>
      <c r="E41" s="1224"/>
      <c r="F41" s="1423">
        <v>128953</v>
      </c>
      <c r="G41" s="1425"/>
      <c r="H41" s="96"/>
      <c r="I41" s="674"/>
      <c r="J41" s="96"/>
    </row>
    <row r="42" spans="1:10" s="99" customFormat="1" ht="15" customHeight="1" thickBot="1" x14ac:dyDescent="0.3">
      <c r="A42" s="116"/>
      <c r="B42" s="117"/>
      <c r="C42" s="2"/>
      <c r="D42" s="119"/>
      <c r="E42" s="119"/>
      <c r="F42" s="119">
        <f>'4.1 sz. mell'!F43</f>
        <v>0</v>
      </c>
      <c r="G42" s="36"/>
      <c r="I42" s="110"/>
    </row>
    <row r="43" spans="1:10" s="99" customFormat="1" ht="18" customHeight="1" thickBot="1" x14ac:dyDescent="0.3">
      <c r="A43" s="150" t="s">
        <v>38</v>
      </c>
      <c r="B43" s="334"/>
      <c r="C43" s="335" t="s">
        <v>510</v>
      </c>
      <c r="D43" s="152">
        <f>SUM(D8,D19,D28,D32,D35,D36,D39)</f>
        <v>603273</v>
      </c>
      <c r="E43" s="152">
        <f t="shared" ref="E43" si="4">SUM(E8,E19,E28,E32,E35,E36,E39)</f>
        <v>740283</v>
      </c>
      <c r="F43" s="152">
        <f>SUM(F36+F34+F32+F28+F19+F8)</f>
        <v>148081</v>
      </c>
      <c r="G43" s="36">
        <f t="shared" si="3"/>
        <v>20.00329603678593</v>
      </c>
      <c r="J43" s="110">
        <f>SUM(F61-F43)</f>
        <v>0</v>
      </c>
    </row>
    <row r="44" spans="1:10" s="99" customFormat="1" ht="15" customHeight="1" thickBot="1" x14ac:dyDescent="0.25">
      <c r="A44" s="336"/>
      <c r="B44" s="153"/>
      <c r="C44" s="154"/>
      <c r="D44" s="155"/>
      <c r="E44" s="155"/>
      <c r="F44" s="155"/>
      <c r="G44" s="155"/>
    </row>
    <row r="45" spans="1:10" s="89" customFormat="1" ht="21" customHeight="1" thickBot="1" x14ac:dyDescent="0.25">
      <c r="A45" s="328"/>
      <c r="B45" s="329"/>
      <c r="C45" s="329" t="s">
        <v>82</v>
      </c>
      <c r="D45" s="330"/>
      <c r="E45" s="330"/>
      <c r="F45" s="330"/>
      <c r="G45" s="330"/>
    </row>
    <row r="46" spans="1:10" s="125" customFormat="1" ht="15" customHeight="1" thickBot="1" x14ac:dyDescent="0.25">
      <c r="A46" s="1256" t="s">
        <v>2</v>
      </c>
      <c r="B46" s="2"/>
      <c r="C46" s="10" t="s">
        <v>49</v>
      </c>
      <c r="D46" s="36">
        <f>SUM(D47:D51)</f>
        <v>578773</v>
      </c>
      <c r="E46" s="36">
        <f t="shared" ref="E46:F46" si="5">SUM(E47:E51)</f>
        <v>721643</v>
      </c>
      <c r="F46" s="36">
        <f t="shared" si="5"/>
        <v>148081</v>
      </c>
      <c r="G46" s="36"/>
    </row>
    <row r="47" spans="1:10" ht="15" customHeight="1" thickBot="1" x14ac:dyDescent="0.25">
      <c r="A47" s="113"/>
      <c r="B47" s="124" t="s">
        <v>50</v>
      </c>
      <c r="C47" s="7" t="s">
        <v>51</v>
      </c>
      <c r="D47" s="142">
        <f>SUM('4.1 sz. mell'!D48+'---'!D34+'4.2 sz. mell'!D45+'........'!D34+'4.3.sz. mell. '!D45+'4.4 sz. mell.'!D46+'4.5.sz. mell.'!D46+'4.6.sz. mell.'!D46)</f>
        <v>347693</v>
      </c>
      <c r="E47" s="142">
        <f>SUM('4.1 sz. mell'!E48+'---'!E34+'4.2 sz. mell'!E45+'........'!E34+'4.3.sz. mell. '!E45+'4.4 sz. mell.'!E46+'4.5.sz. mell.'!E46+'4.6.sz. mell.'!E46)</f>
        <v>416122</v>
      </c>
      <c r="F47" s="142">
        <v>50453</v>
      </c>
      <c r="G47" s="36"/>
    </row>
    <row r="48" spans="1:10" ht="15" customHeight="1" thickBot="1" x14ac:dyDescent="0.25">
      <c r="A48" s="97"/>
      <c r="B48" s="109" t="s">
        <v>52</v>
      </c>
      <c r="C48" s="3" t="s">
        <v>53</v>
      </c>
      <c r="D48" s="142">
        <f>SUM('4.1 sz. mell'!D49+'---'!D35+'4.2 sz. mell'!D46+'........'!D35+'4.3.sz. mell. '!D46+'4.4 sz. mell.'!D47+'4.5.sz. mell.'!D47+'4.6.sz. mell.'!D47)</f>
        <v>91754</v>
      </c>
      <c r="E48" s="142">
        <f>SUM('4.1 sz. mell'!E49+'---'!E35+'4.2 sz. mell'!E46+'........'!E35+'4.3.sz. mell. '!E46+'4.4 sz. mell.'!E47+'4.5.sz. mell.'!E47+'4.6.sz. mell.'!E47)</f>
        <v>110108</v>
      </c>
      <c r="F48" s="142">
        <v>13617</v>
      </c>
      <c r="G48" s="36"/>
    </row>
    <row r="49" spans="1:7" ht="15" customHeight="1" thickBot="1" x14ac:dyDescent="0.25">
      <c r="A49" s="97"/>
      <c r="B49" s="109" t="s">
        <v>54</v>
      </c>
      <c r="C49" s="3" t="s">
        <v>55</v>
      </c>
      <c r="D49" s="142">
        <f>SUM('4.1 sz. mell'!D50+'---'!D36+'4.2 sz. mell'!D47+'........'!D36+'4.3.sz. mell. '!D47+'4.4 sz. mell.'!D48+'4.5.sz. mell.'!D48+'4.6.sz. mell.'!D48)</f>
        <v>116326</v>
      </c>
      <c r="E49" s="142">
        <f>SUM('4.1 sz. mell'!E50+'---'!E36+'4.2 sz. mell'!E47+'........'!E36+'4.3.sz. mell. '!E47+'4.4 sz. mell.'!E48+'4.5.sz. mell.'!E48+'4.6.sz. mell.'!E48)</f>
        <v>122607</v>
      </c>
      <c r="F49" s="142">
        <v>84011</v>
      </c>
      <c r="G49" s="36"/>
    </row>
    <row r="50" spans="1:7" ht="15" customHeight="1" thickBot="1" x14ac:dyDescent="0.25">
      <c r="A50" s="97"/>
      <c r="B50" s="109" t="s">
        <v>56</v>
      </c>
      <c r="C50" s="3" t="s">
        <v>57</v>
      </c>
      <c r="D50" s="142">
        <f>SUM('4.1 sz. mell'!D51+'---'!D37+'4.2 sz. mell'!D48+'........'!D37+'4.3.sz. mell. '!D48+'4.4 sz. mell.'!D49+'4.5.sz. mell.'!D49+'4.6.sz. mell.'!D49)</f>
        <v>23000</v>
      </c>
      <c r="E50" s="142">
        <f>SUM('4.1 sz. mell'!E51+'---'!E37+'4.2 sz. mell'!E48+'........'!E37+'4.3.sz. mell. '!E48+'4.4 sz. mell.'!E49+'4.5.sz. mell.'!E49+'4.6.sz. mell.'!E49)</f>
        <v>72806</v>
      </c>
      <c r="F50" s="142"/>
      <c r="G50" s="36"/>
    </row>
    <row r="51" spans="1:7" ht="15" customHeight="1" thickBot="1" x14ac:dyDescent="0.25">
      <c r="A51" s="97"/>
      <c r="B51" s="109" t="s">
        <v>58</v>
      </c>
      <c r="C51" s="3" t="s">
        <v>59</v>
      </c>
      <c r="D51" s="142">
        <f>SUM('4.1 sz. mell'!D52+'---'!D38+'4.2 sz. mell'!D49+'........'!D38+'4.3.sz. mell. '!D49+'4.4 sz. mell.'!D50+'4.5.sz. mell.'!D50+'4.6.sz. mell.'!D50)</f>
        <v>0</v>
      </c>
      <c r="E51" s="142">
        <f>SUM('4.1 sz. mell'!E52+'---'!E38+'4.2 sz. mell'!E49+'........'!E38+'4.3.sz. mell. '!E49+'4.4 sz. mell.'!E50+'4.5.sz. mell.'!E50+'4.6.sz. mell.'!E50)</f>
        <v>0</v>
      </c>
      <c r="F51" s="142">
        <f>SUM('4.1 sz. mell'!F52+'---'!F38+'4.2 sz. mell'!F49+'........'!F38+'4.3.sz. mell. '!F49+'4.4 sz. mell.'!F50+'4.5.sz. mell.'!F50+'4.6.sz. mell.'!F50)</f>
        <v>0</v>
      </c>
      <c r="G51" s="36"/>
    </row>
    <row r="52" spans="1:7" ht="15" hidden="1" customHeight="1" thickBot="1" x14ac:dyDescent="0.25">
      <c r="A52" s="97"/>
      <c r="B52" s="98"/>
      <c r="C52" s="3"/>
      <c r="D52" s="142"/>
      <c r="E52" s="142"/>
      <c r="F52" s="142"/>
      <c r="G52" s="36"/>
    </row>
    <row r="53" spans="1:7" ht="15" hidden="1" customHeight="1" thickBot="1" x14ac:dyDescent="0.25">
      <c r="A53" s="97"/>
      <c r="B53" s="98"/>
      <c r="C53" s="3"/>
      <c r="D53" s="142"/>
      <c r="E53" s="142"/>
      <c r="F53" s="142"/>
      <c r="G53" s="36"/>
    </row>
    <row r="54" spans="1:7" ht="18.75" customHeight="1" thickBot="1" x14ac:dyDescent="0.25">
      <c r="A54" s="1256" t="s">
        <v>3</v>
      </c>
      <c r="B54" s="2"/>
      <c r="C54" s="10" t="s">
        <v>1513</v>
      </c>
      <c r="D54" s="337" t="e">
        <f>SUM(D55:D58)</f>
        <v>#REF!</v>
      </c>
      <c r="E54" s="337" t="e">
        <f t="shared" ref="E54" si="6">SUM(E55:E58)</f>
        <v>#REF!</v>
      </c>
      <c r="F54" s="337">
        <f>SUM(F55:F58)</f>
        <v>0</v>
      </c>
      <c r="G54" s="36" t="e">
        <f t="shared" ref="G54:G61" si="7">SUM(F54/E54)*100</f>
        <v>#REF!</v>
      </c>
    </row>
    <row r="55" spans="1:7" s="125" customFormat="1" ht="15" customHeight="1" thickBot="1" x14ac:dyDescent="0.25">
      <c r="A55" s="113"/>
      <c r="B55" s="1165" t="s">
        <v>4</v>
      </c>
      <c r="C55" s="1151" t="s">
        <v>1173</v>
      </c>
      <c r="D55" s="142">
        <f>SUM('6.2.sz.mell.'!H105)</f>
        <v>0</v>
      </c>
      <c r="E55" s="142">
        <f>'4.1 sz. mell'!E54</f>
        <v>17440</v>
      </c>
      <c r="F55" s="142">
        <f>'4.1 sz. mell'!F54</f>
        <v>0</v>
      </c>
      <c r="G55" s="36">
        <f t="shared" si="7"/>
        <v>0</v>
      </c>
    </row>
    <row r="56" spans="1:7" ht="15" customHeight="1" thickBot="1" x14ac:dyDescent="0.25">
      <c r="A56" s="97"/>
      <c r="B56" s="1166" t="s">
        <v>6</v>
      </c>
      <c r="C56" s="1144" t="s">
        <v>64</v>
      </c>
      <c r="D56" s="142"/>
      <c r="E56" s="142"/>
      <c r="F56" s="142"/>
      <c r="G56" s="36"/>
    </row>
    <row r="57" spans="1:7" ht="15" customHeight="1" thickBot="1" x14ac:dyDescent="0.25">
      <c r="A57" s="97"/>
      <c r="B57" s="1166" t="s">
        <v>7</v>
      </c>
      <c r="C57" s="1144" t="s">
        <v>1500</v>
      </c>
      <c r="D57" s="142">
        <f>SUM('4.1 sz. mell'!D56+'---'!D42+'4.2 sz. mell'!D53+'........'!D42+'4.3.sz. mell. '!D53+'4.4 sz. mell.'!D54+'4.5.sz. mell.'!D54)</f>
        <v>0</v>
      </c>
      <c r="E57" s="142">
        <f>SUM('4.1 sz. mell'!E56+'---'!E42+'4.2 sz. mell'!E53+'........'!E42+'4.3.sz. mell. '!E53+'4.4 sz. mell.'!E54+'4.5.sz. mell.'!E54)</f>
        <v>0</v>
      </c>
      <c r="F57" s="142">
        <f>SUM('4.1 sz. mell'!F56+'---'!F42+'4.2 sz. mell'!F53+'........'!F42+'4.3.sz. mell. '!F53+'4.4 sz. mell.'!F54+'4.5.sz. mell.'!F54)</f>
        <v>0</v>
      </c>
      <c r="G57" s="36"/>
    </row>
    <row r="58" spans="1:7" ht="15" hidden="1" customHeight="1" thickBot="1" x14ac:dyDescent="0.25">
      <c r="A58" s="97"/>
      <c r="B58" s="98"/>
      <c r="C58" s="3"/>
      <c r="D58" s="142" t="e">
        <f>SUM('4.1 sz. mell'!#REF!+'---'!D43+'4.2 sz. mell'!D54+'........'!D43+'4.3.sz. mell. '!D54+'4.4 sz. mell.'!D55+'4.5.sz. mell.'!D55)</f>
        <v>#REF!</v>
      </c>
      <c r="E58" s="142" t="e">
        <f>SUM('4.1 sz. mell'!#REF!+'---'!E43+'4.2 sz. mell'!E54+'........'!E43+'4.3.sz. mell. '!E54+'4.4 sz. mell.'!E55+'4.5.sz. mell.'!E55)</f>
        <v>#REF!</v>
      </c>
      <c r="F58" s="142"/>
      <c r="G58" s="36"/>
    </row>
    <row r="59" spans="1:7" ht="15" customHeight="1" thickBot="1" x14ac:dyDescent="0.25">
      <c r="A59" s="114" t="s">
        <v>12</v>
      </c>
      <c r="B59" s="338"/>
      <c r="C59" s="339" t="s">
        <v>514</v>
      </c>
      <c r="D59" s="145">
        <f>SUM('4.1 sz. mell'!D57+'---'!D44+'4.2 sz. mell'!D55+'........'!D44+'4.3.sz. mell. '!D55+'4.4 sz. mell.'!D56+'4.5.sz. mell.'!D56)</f>
        <v>0</v>
      </c>
      <c r="E59" s="145">
        <f>SUM('4.1 sz. mell'!E57+'---'!E44+'4.2 sz. mell'!E55+'........'!E44+'4.3.sz. mell. '!E55+'4.4 sz. mell.'!E56+'4.5.sz. mell.'!E56)</f>
        <v>1200</v>
      </c>
      <c r="F59" s="145">
        <f>SUM('4.1 sz. mell'!F57+'---'!F44+'4.2 sz. mell'!F55+'........'!F44+'4.3.sz. mell. '!F55+'4.4 sz. mell.'!F56+'4.5.sz. mell.'!F56)</f>
        <v>0</v>
      </c>
      <c r="G59" s="36"/>
    </row>
    <row r="60" spans="1:7" s="99" customFormat="1" ht="15" customHeight="1" thickBot="1" x14ac:dyDescent="0.25">
      <c r="A60" s="1256"/>
      <c r="B60" s="2"/>
      <c r="C60" s="10"/>
      <c r="D60" s="119"/>
      <c r="E60" s="119"/>
      <c r="F60" s="119">
        <f>'4.1 sz. mell'!F58</f>
        <v>0</v>
      </c>
      <c r="G60" s="36"/>
    </row>
    <row r="61" spans="1:7" ht="19.5" customHeight="1" thickBot="1" x14ac:dyDescent="0.3">
      <c r="A61" s="150" t="s">
        <v>68</v>
      </c>
      <c r="B61" s="151"/>
      <c r="C61" s="335" t="s">
        <v>516</v>
      </c>
      <c r="D61" s="340" t="e">
        <f>+D46+D54+D59</f>
        <v>#REF!</v>
      </c>
      <c r="E61" s="340" t="e">
        <f t="shared" ref="E61" si="8">+E46+E54+E59</f>
        <v>#REF!</v>
      </c>
      <c r="F61" s="340">
        <f>+F46+F54+F59+F60</f>
        <v>148081</v>
      </c>
      <c r="G61" s="36" t="e">
        <f t="shared" si="7"/>
        <v>#REF!</v>
      </c>
    </row>
    <row r="62" spans="1:7" ht="15" customHeight="1" thickBot="1" x14ac:dyDescent="0.25">
      <c r="A62" s="165"/>
      <c r="B62" s="166"/>
      <c r="C62" s="166"/>
      <c r="D62" s="132"/>
      <c r="E62" s="132"/>
      <c r="F62" s="132"/>
      <c r="G62" s="36"/>
    </row>
    <row r="63" spans="1:7" ht="15" customHeight="1" thickBot="1" x14ac:dyDescent="0.25">
      <c r="A63" s="1551" t="s">
        <v>136</v>
      </c>
      <c r="B63" s="1551"/>
      <c r="C63" s="1551"/>
      <c r="D63" s="341">
        <f>SUM('4.1 sz. mell'!D61+'---'!D48+'4.2 sz. mell'!D59+'........'!D48+'4.3.sz. mell. '!D59+'4.4 sz. mell.'!D60+'4.5.sz. mell.'!D60+'4.6.sz. mell.'!D60)</f>
        <v>104</v>
      </c>
      <c r="E63" s="341">
        <v>104</v>
      </c>
      <c r="F63" s="341">
        <v>14</v>
      </c>
      <c r="G63" s="341">
        <f>SUM('4.1 sz. mell'!G61+'---'!G48+'4.2 sz. mell'!G59+'........'!G48+'4.3.sz. mell. '!G59+'4.4 sz. mell.'!G60+'4.5.sz. mell.'!G60+'4.6.sz. mell.'!G60)</f>
        <v>0</v>
      </c>
    </row>
    <row r="64" spans="1:7" ht="15" customHeight="1" thickBot="1" x14ac:dyDescent="0.25">
      <c r="A64" s="1551" t="s">
        <v>137</v>
      </c>
      <c r="B64" s="1551"/>
      <c r="C64" s="1551"/>
      <c r="D64" s="119">
        <f>SUM('4.1 sz. mell'!D62+'---'!D49+'4.2 sz. mell'!D60+'........'!D49+'4.3.sz. mell. '!D60+'4.4 sz. mell.'!D61+'4.5.sz. mell.'!D61)</f>
        <v>0</v>
      </c>
      <c r="E64" s="119">
        <f>SUM('4.1 sz. mell'!E62+'---'!E49+'4.2 sz. mell'!E60+'........'!E49+'4.3.sz. mell. '!E60+'4.4 sz. mell.'!E61+'4.5.sz. mell.'!E61)</f>
        <v>0</v>
      </c>
      <c r="F64" s="119">
        <f>SUM('4.1 sz. mell'!F62+'---'!F49+'4.2 sz. mell'!F60+'........'!F49+'4.3.sz. mell. '!F60+'4.4 sz. mell.'!F61+'4.5.sz. mell.'!F61)</f>
        <v>0</v>
      </c>
      <c r="G64" s="119">
        <f>SUM('4.1 sz. mell'!G62+'---'!G49+'4.2 sz. mell'!G60+'........'!G49+'4.3.sz. mell. '!G60+'4.4 sz. mell.'!G61+'4.5.sz. mell.'!G61)</f>
        <v>0</v>
      </c>
    </row>
  </sheetData>
  <sheetProtection selectLockedCells="1" selectUnlockedCells="1"/>
  <mergeCells count="9">
    <mergeCell ref="A5:B5"/>
    <mergeCell ref="A63:C63"/>
    <mergeCell ref="A64:C64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3622047244094491" top="0.31496062992125984" bottom="0.47244094488188981" header="0.19685039370078741" footer="0.23622047244094491"/>
  <pageSetup paperSize="9" scale="70" firstPageNumber="61" orientation="portrait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view="pageBreakPreview" zoomScaleSheetLayoutView="100" workbookViewId="0">
      <selection activeCell="C8" sqref="C8"/>
    </sheetView>
  </sheetViews>
  <sheetFormatPr defaultRowHeight="12.75" x14ac:dyDescent="0.2"/>
  <cols>
    <col min="1" max="1" width="9.6640625" style="75" customWidth="1"/>
    <col min="2" max="2" width="7.6640625" style="76" customWidth="1"/>
    <col min="3" max="3" width="62" style="76" customWidth="1"/>
    <col min="4" max="4" width="13.5" style="76" hidden="1" customWidth="1"/>
    <col min="5" max="5" width="16.83203125" style="76" hidden="1" customWidth="1"/>
    <col min="6" max="6" width="18.83203125" style="76" customWidth="1"/>
    <col min="7" max="7" width="9.5" style="76" hidden="1" customWidth="1"/>
    <col min="8" max="8" width="9.33203125" style="76"/>
    <col min="9" max="9" width="9.5" style="76" bestFit="1" customWidth="1"/>
    <col min="10" max="16384" width="9.33203125" style="76"/>
  </cols>
  <sheetData>
    <row r="1" spans="1:7" s="326" customFormat="1" ht="21" customHeight="1" thickBot="1" x14ac:dyDescent="0.25">
      <c r="A1" s="323"/>
      <c r="B1" s="324"/>
      <c r="C1" s="342"/>
      <c r="D1" s="1553" t="s">
        <v>517</v>
      </c>
      <c r="E1" s="1553"/>
      <c r="F1" s="1553"/>
      <c r="G1" s="1553"/>
    </row>
    <row r="2" spans="1:7" s="79" customFormat="1" ht="30.75" customHeight="1" thickBot="1" x14ac:dyDescent="0.25">
      <c r="A2" s="1554" t="s">
        <v>495</v>
      </c>
      <c r="B2" s="1554"/>
      <c r="C2" s="77" t="s">
        <v>496</v>
      </c>
      <c r="D2" s="1523" t="s">
        <v>1024</v>
      </c>
      <c r="E2" s="343"/>
      <c r="F2" s="1523" t="s">
        <v>1420</v>
      </c>
      <c r="G2" s="343"/>
    </row>
    <row r="3" spans="1:7" s="79" customFormat="1" ht="33" customHeight="1" thickBot="1" x14ac:dyDescent="0.25">
      <c r="A3" s="1555" t="s">
        <v>122</v>
      </c>
      <c r="B3" s="1555"/>
      <c r="C3" s="80" t="s">
        <v>518</v>
      </c>
      <c r="D3" s="1524"/>
      <c r="E3" s="327"/>
      <c r="F3" s="1524"/>
      <c r="G3" s="16"/>
    </row>
    <row r="4" spans="1:7" s="83" customFormat="1" ht="15.95" customHeight="1" thickBot="1" x14ac:dyDescent="0.25">
      <c r="A4" s="344"/>
      <c r="B4" s="344"/>
      <c r="C4" s="344"/>
      <c r="D4" s="1556"/>
      <c r="E4" s="1556"/>
      <c r="F4" s="1556"/>
      <c r="G4" s="345" t="s">
        <v>79</v>
      </c>
    </row>
    <row r="5" spans="1:7" ht="29.25" customHeight="1" x14ac:dyDescent="0.2">
      <c r="A5" s="1557" t="s">
        <v>124</v>
      </c>
      <c r="B5" s="1557"/>
      <c r="C5" s="346" t="s">
        <v>125</v>
      </c>
      <c r="D5" s="347" t="s">
        <v>126</v>
      </c>
      <c r="E5" s="347" t="s">
        <v>127</v>
      </c>
      <c r="F5" s="347" t="s">
        <v>128</v>
      </c>
      <c r="G5" s="347" t="s">
        <v>1</v>
      </c>
    </row>
    <row r="6" spans="1:7" s="89" customFormat="1" ht="15" customHeight="1" x14ac:dyDescent="0.2">
      <c r="A6" s="93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7" s="89" customFormat="1" ht="15" customHeight="1" x14ac:dyDescent="0.2">
      <c r="A7" s="350"/>
      <c r="B7" s="351"/>
      <c r="C7" s="351" t="s">
        <v>81</v>
      </c>
      <c r="D7" s="352"/>
      <c r="E7" s="352"/>
      <c r="F7" s="352"/>
      <c r="G7" s="3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36">
        <f>SUM(D9:D18)</f>
        <v>0</v>
      </c>
      <c r="E8" s="36">
        <f t="shared" ref="E8:F8" si="0">SUM(E9:E18)</f>
        <v>0</v>
      </c>
      <c r="F8" s="36">
        <f t="shared" si="0"/>
        <v>0</v>
      </c>
      <c r="G8" s="36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7">
        <v>0</v>
      </c>
      <c r="E9" s="147">
        <v>0</v>
      </c>
      <c r="F9" s="147">
        <v>0</v>
      </c>
      <c r="G9" s="147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/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2">
        <v>0</v>
      </c>
      <c r="E14" s="142">
        <v>0</v>
      </c>
      <c r="F14" s="142"/>
      <c r="G14" s="142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193"/>
      <c r="E16" s="1193"/>
      <c r="F16" s="1193"/>
      <c r="G16" s="1193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193"/>
      <c r="E17" s="1193"/>
      <c r="F17" s="1193"/>
      <c r="G17" s="1193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7">
        <v>0</v>
      </c>
      <c r="E18" s="147">
        <v>0</v>
      </c>
      <c r="F18" s="147"/>
      <c r="G18" s="147"/>
    </row>
    <row r="19" spans="1:7" s="96" customFormat="1" ht="32.25" customHeight="1" thickBot="1" x14ac:dyDescent="0.25">
      <c r="A19" s="93" t="s">
        <v>3</v>
      </c>
      <c r="B19" s="94"/>
      <c r="C19" s="1142" t="s">
        <v>1482</v>
      </c>
      <c r="D19" s="353">
        <f>SUM(D20:D25)</f>
        <v>14937</v>
      </c>
      <c r="E19" s="353">
        <f t="shared" ref="E19" si="1">SUM(E20:E25)</f>
        <v>16527</v>
      </c>
      <c r="F19" s="353">
        <f>SUM(F20+F24+F25)</f>
        <v>0</v>
      </c>
      <c r="G19" s="353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03">
        <v>14937</v>
      </c>
      <c r="E20" s="103">
        <v>16527</v>
      </c>
      <c r="F20" s="103">
        <f>SUM(F21:F22)</f>
        <v>0</v>
      </c>
      <c r="G20" s="103">
        <f>F20/E20*100</f>
        <v>0</v>
      </c>
    </row>
    <row r="21" spans="1:7" s="99" customFormat="1" ht="15" customHeight="1" x14ac:dyDescent="0.2">
      <c r="A21" s="1294"/>
      <c r="B21" s="1148" t="s">
        <v>239</v>
      </c>
      <c r="C21" s="1152" t="s">
        <v>34</v>
      </c>
      <c r="D21" s="143"/>
      <c r="E21" s="143"/>
      <c r="F21" s="143"/>
      <c r="G21" s="143"/>
    </row>
    <row r="22" spans="1:7" s="99" customFormat="1" ht="30.75" customHeight="1" x14ac:dyDescent="0.2">
      <c r="A22" s="1294"/>
      <c r="B22" s="1148" t="s">
        <v>255</v>
      </c>
      <c r="C22" s="1152" t="s">
        <v>1484</v>
      </c>
      <c r="D22" s="143"/>
      <c r="E22" s="143"/>
      <c r="F22" s="143"/>
      <c r="G22" s="143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5">
        <v>0</v>
      </c>
      <c r="E25" s="145">
        <v>0</v>
      </c>
      <c r="F25" s="145">
        <v>0</v>
      </c>
      <c r="G25" s="145"/>
    </row>
    <row r="26" spans="1:7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hidden="1" customHeight="1" thickBot="1" x14ac:dyDescent="0.25">
      <c r="A28" s="93"/>
      <c r="B28" s="2"/>
      <c r="C28" s="2"/>
      <c r="D28" s="119">
        <v>0</v>
      </c>
      <c r="E28" s="119">
        <v>0</v>
      </c>
      <c r="F28" s="119"/>
      <c r="G28" s="119"/>
    </row>
    <row r="29" spans="1:7" s="99" customFormat="1" ht="15" customHeight="1" thickBot="1" x14ac:dyDescent="0.25">
      <c r="A29" s="1256" t="s">
        <v>68</v>
      </c>
      <c r="B29" s="94"/>
      <c r="C29" s="1156" t="s">
        <v>1505</v>
      </c>
      <c r="D29" s="1224"/>
      <c r="E29" s="1224"/>
      <c r="F29" s="1224"/>
      <c r="G29" s="1224"/>
    </row>
    <row r="30" spans="1:7" s="99" customFormat="1" ht="15" customHeight="1" thickBot="1" x14ac:dyDescent="0.25">
      <c r="A30" s="97"/>
      <c r="B30" s="1160" t="s">
        <v>133</v>
      </c>
      <c r="C30" s="1144" t="s">
        <v>1489</v>
      </c>
      <c r="D30" s="1224"/>
      <c r="E30" s="1224"/>
      <c r="F30" s="1224"/>
      <c r="G30" s="1224"/>
    </row>
    <row r="31" spans="1:7" s="99" customFormat="1" ht="15" customHeight="1" thickBot="1" x14ac:dyDescent="0.25">
      <c r="A31" s="97"/>
      <c r="B31" s="1160" t="s">
        <v>983</v>
      </c>
      <c r="C31" s="1144" t="s">
        <v>1490</v>
      </c>
      <c r="D31" s="1224"/>
      <c r="E31" s="1224"/>
      <c r="F31" s="1224"/>
      <c r="G31" s="1224"/>
    </row>
    <row r="32" spans="1:7" s="99" customFormat="1" ht="15" customHeight="1" thickBot="1" x14ac:dyDescent="0.25">
      <c r="A32" s="97"/>
      <c r="B32" s="1160" t="s">
        <v>149</v>
      </c>
      <c r="C32" s="1144" t="s">
        <v>1491</v>
      </c>
      <c r="D32" s="119"/>
      <c r="E32" s="119"/>
      <c r="F32" s="119"/>
      <c r="G32" s="119"/>
    </row>
    <row r="33" spans="1:9" s="99" customFormat="1" ht="30.75" customHeight="1" thickBot="1" x14ac:dyDescent="0.25">
      <c r="A33" s="1256">
        <v>5</v>
      </c>
      <c r="B33" s="1161"/>
      <c r="C33" s="1156" t="s">
        <v>1506</v>
      </c>
      <c r="D33" s="1224"/>
      <c r="E33" s="1224"/>
      <c r="F33" s="1224"/>
      <c r="G33" s="1224"/>
    </row>
    <row r="34" spans="1:9" s="99" customFormat="1" ht="15" customHeight="1" thickBot="1" x14ac:dyDescent="0.25">
      <c r="A34" s="1216"/>
      <c r="B34" s="1162" t="s">
        <v>28</v>
      </c>
      <c r="C34" s="1151" t="s">
        <v>1492</v>
      </c>
      <c r="D34" s="1224"/>
      <c r="E34" s="1224"/>
      <c r="F34" s="1224"/>
      <c r="G34" s="1224"/>
    </row>
    <row r="35" spans="1:9" s="99" customFormat="1" ht="15" customHeight="1" thickBot="1" x14ac:dyDescent="0.3">
      <c r="A35" s="1216" t="s">
        <v>32</v>
      </c>
      <c r="B35" s="117"/>
      <c r="C35" s="1142" t="s">
        <v>1493</v>
      </c>
      <c r="D35" s="1224"/>
      <c r="E35" s="1224"/>
      <c r="F35" s="1224"/>
      <c r="G35" s="1224"/>
    </row>
    <row r="36" spans="1:9" s="96" customFormat="1" ht="31.5" customHeight="1" thickBot="1" x14ac:dyDescent="0.25">
      <c r="A36" s="1216"/>
      <c r="B36" s="1164" t="s">
        <v>33</v>
      </c>
      <c r="C36" s="1144" t="s">
        <v>1494</v>
      </c>
      <c r="D36" s="119"/>
      <c r="E36" s="119"/>
      <c r="F36" s="119"/>
      <c r="G36" s="119"/>
    </row>
    <row r="37" spans="1:9" s="96" customFormat="1" ht="32.25" customHeight="1" thickBot="1" x14ac:dyDescent="0.3">
      <c r="A37" s="1256" t="s">
        <v>74</v>
      </c>
      <c r="B37" s="117"/>
      <c r="C37" s="1156" t="s">
        <v>1495</v>
      </c>
      <c r="D37" s="141">
        <f>+D38+D39</f>
        <v>0</v>
      </c>
      <c r="E37" s="141">
        <f>+E38+E39</f>
        <v>0</v>
      </c>
      <c r="F37" s="141">
        <f>+F38+F39</f>
        <v>0</v>
      </c>
      <c r="G37" s="141"/>
    </row>
    <row r="38" spans="1:9" s="96" customFormat="1" ht="15" customHeight="1" x14ac:dyDescent="0.2">
      <c r="A38" s="1257"/>
      <c r="B38" s="1160" t="s">
        <v>36</v>
      </c>
      <c r="C38" s="1144" t="s">
        <v>1496</v>
      </c>
      <c r="D38" s="142"/>
      <c r="E38" s="142"/>
      <c r="F38" s="142"/>
      <c r="G38" s="142"/>
    </row>
    <row r="39" spans="1:9" s="96" customFormat="1" ht="15" customHeight="1" thickBot="1" x14ac:dyDescent="0.25">
      <c r="A39" s="1258"/>
      <c r="B39" s="1160" t="s">
        <v>37</v>
      </c>
      <c r="C39" s="1144" t="s">
        <v>1497</v>
      </c>
      <c r="D39" s="142"/>
      <c r="E39" s="142"/>
      <c r="F39" s="142"/>
      <c r="G39" s="142"/>
    </row>
    <row r="40" spans="1:9" s="99" customFormat="1" ht="15" customHeight="1" thickBot="1" x14ac:dyDescent="0.25">
      <c r="A40" s="116"/>
      <c r="B40" s="1160" t="s">
        <v>1499</v>
      </c>
      <c r="C40" s="1144" t="s">
        <v>1498</v>
      </c>
      <c r="D40" s="142">
        <v>188571</v>
      </c>
      <c r="E40" s="142">
        <v>269818</v>
      </c>
      <c r="F40" s="142">
        <f>SUM(F41:F42)</f>
        <v>253652</v>
      </c>
      <c r="G40" s="142">
        <f>F40/E40*100</f>
        <v>94.008553914119886</v>
      </c>
      <c r="I40" s="110">
        <f>SUM(F59-F44)</f>
        <v>0</v>
      </c>
    </row>
    <row r="41" spans="1:9" s="99" customFormat="1" ht="15" customHeight="1" thickBot="1" x14ac:dyDescent="0.25">
      <c r="A41" s="1421"/>
      <c r="B41" s="1413" t="s">
        <v>1777</v>
      </c>
      <c r="C41" s="1414" t="s">
        <v>1775</v>
      </c>
      <c r="D41" s="1224"/>
      <c r="E41" s="1224"/>
      <c r="F41" s="1423">
        <v>19128</v>
      </c>
      <c r="G41" s="1412"/>
      <c r="I41" s="110"/>
    </row>
    <row r="42" spans="1:9" s="99" customFormat="1" ht="15" customHeight="1" thickBot="1" x14ac:dyDescent="0.25">
      <c r="A42" s="1421"/>
      <c r="B42" s="1417" t="s">
        <v>1778</v>
      </c>
      <c r="C42" s="1418" t="s">
        <v>1776</v>
      </c>
      <c r="D42" s="1224"/>
      <c r="E42" s="1224"/>
      <c r="F42" s="1423">
        <v>234524</v>
      </c>
      <c r="G42" s="1412"/>
      <c r="I42" s="110"/>
    </row>
    <row r="43" spans="1:9" s="99" customFormat="1" ht="15" customHeight="1" thickBot="1" x14ac:dyDescent="0.3">
      <c r="A43" s="116"/>
      <c r="B43" s="117"/>
      <c r="C43" s="2" t="s">
        <v>509</v>
      </c>
      <c r="D43" s="119"/>
      <c r="E43" s="119"/>
      <c r="F43" s="119"/>
      <c r="G43" s="119"/>
    </row>
    <row r="44" spans="1:9" s="99" customFormat="1" ht="21" customHeight="1" thickBot="1" x14ac:dyDescent="0.25">
      <c r="A44" s="150" t="s">
        <v>38</v>
      </c>
      <c r="B44" s="151"/>
      <c r="C44" s="354" t="s">
        <v>510</v>
      </c>
      <c r="D44" s="152">
        <f>SUM(D8,D19,D28,D32,D36,D37,D40)</f>
        <v>203508</v>
      </c>
      <c r="E44" s="152">
        <f>SUM(E8,E19,E28,E32,E36,E37,E40)</f>
        <v>286345</v>
      </c>
      <c r="F44" s="152">
        <f>SUM(F8,F19,F28,F32,F36,F37,F40,F43)</f>
        <v>253652</v>
      </c>
      <c r="G44" s="152">
        <f>F44/E44*100</f>
        <v>88.582653791754709</v>
      </c>
    </row>
    <row r="45" spans="1:9" s="99" customFormat="1" ht="15" customHeight="1" thickBot="1" x14ac:dyDescent="0.25">
      <c r="A45" s="336"/>
      <c r="B45" s="336"/>
      <c r="C45" s="355"/>
      <c r="D45" s="155"/>
      <c r="E45" s="155"/>
      <c r="F45" s="155"/>
      <c r="G45" s="155"/>
    </row>
    <row r="46" spans="1:9" s="89" customFormat="1" ht="15" customHeight="1" x14ac:dyDescent="0.2">
      <c r="A46" s="328"/>
      <c r="B46" s="329"/>
      <c r="C46" s="329" t="s">
        <v>82</v>
      </c>
      <c r="D46" s="330"/>
      <c r="E46" s="330"/>
      <c r="F46" s="330"/>
      <c r="G46" s="330"/>
    </row>
    <row r="47" spans="1:9" s="125" customFormat="1" ht="15" customHeight="1" x14ac:dyDescent="0.2">
      <c r="A47" s="93" t="s">
        <v>2</v>
      </c>
      <c r="B47" s="2"/>
      <c r="C47" s="10" t="s">
        <v>49</v>
      </c>
      <c r="D47" s="141">
        <f>SUM(D48:D52)</f>
        <v>203508</v>
      </c>
      <c r="E47" s="141">
        <f t="shared" ref="E47" si="2">SUM(E48:E52)</f>
        <v>267705</v>
      </c>
      <c r="F47" s="141">
        <f>SUM(F48:F52)</f>
        <v>253652</v>
      </c>
      <c r="G47" s="141">
        <f>F47/E47*100</f>
        <v>94.750564987579608</v>
      </c>
    </row>
    <row r="48" spans="1:9" ht="15" customHeight="1" x14ac:dyDescent="0.2">
      <c r="A48" s="113"/>
      <c r="B48" s="124" t="s">
        <v>50</v>
      </c>
      <c r="C48" s="7" t="s">
        <v>51</v>
      </c>
      <c r="D48" s="147">
        <v>121542</v>
      </c>
      <c r="E48" s="147">
        <v>168043</v>
      </c>
      <c r="F48" s="147">
        <v>144999</v>
      </c>
      <c r="G48" s="147">
        <f>F48/E48*100</f>
        <v>86.286843248454275</v>
      </c>
    </row>
    <row r="49" spans="1:7" ht="15" customHeight="1" x14ac:dyDescent="0.2">
      <c r="A49" s="97"/>
      <c r="B49" s="109" t="s">
        <v>52</v>
      </c>
      <c r="C49" s="3" t="s">
        <v>53</v>
      </c>
      <c r="D49" s="142">
        <v>31363</v>
      </c>
      <c r="E49" s="142">
        <v>44243</v>
      </c>
      <c r="F49" s="142">
        <v>39995</v>
      </c>
      <c r="G49" s="142">
        <f>F49/E49*100</f>
        <v>90.398481115656722</v>
      </c>
    </row>
    <row r="50" spans="1:7" ht="15" customHeight="1" x14ac:dyDescent="0.2">
      <c r="A50" s="97"/>
      <c r="B50" s="109" t="s">
        <v>54</v>
      </c>
      <c r="C50" s="3" t="s">
        <v>55</v>
      </c>
      <c r="D50" s="142">
        <v>50603</v>
      </c>
      <c r="E50" s="142">
        <v>55419</v>
      </c>
      <c r="F50" s="142">
        <v>45658</v>
      </c>
      <c r="G50" s="142">
        <f>F50/E50*100</f>
        <v>82.386907017448891</v>
      </c>
    </row>
    <row r="51" spans="1:7" ht="15" customHeight="1" x14ac:dyDescent="0.2">
      <c r="A51" s="97"/>
      <c r="B51" s="109" t="s">
        <v>56</v>
      </c>
      <c r="C51" s="3" t="s">
        <v>57</v>
      </c>
      <c r="D51" s="142"/>
      <c r="E51" s="142"/>
      <c r="F51" s="142">
        <v>23000</v>
      </c>
      <c r="G51" s="142"/>
    </row>
    <row r="52" spans="1:7" ht="15" customHeight="1" x14ac:dyDescent="0.2">
      <c r="A52" s="97"/>
      <c r="B52" s="109" t="s">
        <v>58</v>
      </c>
      <c r="C52" s="3" t="s">
        <v>59</v>
      </c>
      <c r="D52" s="142"/>
      <c r="E52" s="142"/>
      <c r="F52" s="142"/>
      <c r="G52" s="142" t="e">
        <f>F52/E52*100</f>
        <v>#DIV/0!</v>
      </c>
    </row>
    <row r="53" spans="1:7" ht="15" customHeight="1" x14ac:dyDescent="0.2">
      <c r="A53" s="93" t="s">
        <v>3</v>
      </c>
      <c r="B53" s="2"/>
      <c r="C53" s="10" t="s">
        <v>1513</v>
      </c>
      <c r="D53" s="141">
        <f>SUM(D54:D56)</f>
        <v>0</v>
      </c>
      <c r="E53" s="141">
        <f>SUM(E54:E56)</f>
        <v>17440</v>
      </c>
      <c r="F53" s="141">
        <f>SUM(F54:F56)</f>
        <v>0</v>
      </c>
      <c r="G53" s="141">
        <f>F53/E53*100</f>
        <v>0</v>
      </c>
    </row>
    <row r="54" spans="1:7" s="125" customFormat="1" ht="15" customHeight="1" x14ac:dyDescent="0.2">
      <c r="A54" s="113"/>
      <c r="B54" s="1165" t="s">
        <v>4</v>
      </c>
      <c r="C54" s="1151" t="s">
        <v>1173</v>
      </c>
      <c r="D54" s="147"/>
      <c r="E54" s="147">
        <v>17440</v>
      </c>
      <c r="F54" s="147"/>
      <c r="G54" s="147">
        <f>F54/E54*100</f>
        <v>0</v>
      </c>
    </row>
    <row r="55" spans="1:7" ht="15" customHeight="1" x14ac:dyDescent="0.2">
      <c r="A55" s="97"/>
      <c r="B55" s="1166" t="s">
        <v>6</v>
      </c>
      <c r="C55" s="1144" t="s">
        <v>64</v>
      </c>
      <c r="D55" s="142">
        <v>0</v>
      </c>
      <c r="E55" s="142">
        <v>0</v>
      </c>
      <c r="F55" s="142">
        <v>0</v>
      </c>
      <c r="G55" s="142"/>
    </row>
    <row r="56" spans="1:7" ht="15.75" customHeight="1" thickBot="1" x14ac:dyDescent="0.25">
      <c r="A56" s="97"/>
      <c r="B56" s="1166" t="s">
        <v>7</v>
      </c>
      <c r="C56" s="1144" t="s">
        <v>1500</v>
      </c>
      <c r="D56" s="142">
        <v>0</v>
      </c>
      <c r="E56" s="142">
        <v>0</v>
      </c>
      <c r="F56" s="142">
        <v>0</v>
      </c>
      <c r="G56" s="142"/>
    </row>
    <row r="57" spans="1:7" ht="15" customHeight="1" thickBot="1" x14ac:dyDescent="0.25">
      <c r="A57" s="93" t="s">
        <v>12</v>
      </c>
      <c r="B57" s="2"/>
      <c r="C57" s="10" t="s">
        <v>514</v>
      </c>
      <c r="D57" s="119">
        <v>0</v>
      </c>
      <c r="E57" s="119">
        <v>1200</v>
      </c>
      <c r="F57" s="119"/>
      <c r="G57" s="119"/>
    </row>
    <row r="58" spans="1:7" s="99" customFormat="1" ht="15" hidden="1" customHeight="1" x14ac:dyDescent="0.2">
      <c r="A58" s="93"/>
      <c r="B58" s="2"/>
      <c r="C58" s="10"/>
      <c r="D58" s="119"/>
      <c r="E58" s="119"/>
      <c r="F58" s="119"/>
      <c r="G58" s="119"/>
    </row>
    <row r="59" spans="1:7" ht="15" customHeight="1" thickBot="1" x14ac:dyDescent="0.25">
      <c r="A59" s="150" t="s">
        <v>68</v>
      </c>
      <c r="B59" s="151"/>
      <c r="C59" s="354" t="s">
        <v>516</v>
      </c>
      <c r="D59" s="152">
        <f>+D47+D53+D57</f>
        <v>203508</v>
      </c>
      <c r="E59" s="152">
        <f>+E47+E53+E57</f>
        <v>286345</v>
      </c>
      <c r="F59" s="152">
        <f>+F47+F53+F57+F58</f>
        <v>253652</v>
      </c>
      <c r="G59" s="152">
        <f>F59/E59*100</f>
        <v>88.582653791754709</v>
      </c>
    </row>
    <row r="60" spans="1:7" ht="15" customHeight="1" thickBot="1" x14ac:dyDescent="0.25">
      <c r="A60" s="131"/>
      <c r="B60" s="132"/>
      <c r="C60" s="132"/>
      <c r="D60" s="132"/>
      <c r="E60" s="132"/>
      <c r="F60" s="132"/>
      <c r="G60" s="132"/>
    </row>
    <row r="61" spans="1:7" ht="15" customHeight="1" x14ac:dyDescent="0.2">
      <c r="A61" s="133" t="s">
        <v>136</v>
      </c>
      <c r="B61" s="134"/>
      <c r="C61" s="135"/>
      <c r="D61" s="136">
        <v>31.5</v>
      </c>
      <c r="E61" s="136">
        <v>31.5</v>
      </c>
      <c r="F61" s="136">
        <v>37.5</v>
      </c>
      <c r="G61" s="136"/>
    </row>
    <row r="62" spans="1:7" ht="15" customHeight="1" x14ac:dyDescent="0.2">
      <c r="A62" s="133" t="s">
        <v>137</v>
      </c>
      <c r="B62" s="134"/>
      <c r="C62" s="135"/>
      <c r="D62" s="356"/>
      <c r="E62" s="356"/>
      <c r="F62" s="356"/>
      <c r="G62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27559055118110237" right="0.43307086614173229" top="0.27559055118110237" bottom="0.39370078740157483" header="0.15748031496062992" footer="0.15748031496062992"/>
  <pageSetup paperSize="9" scale="77" firstPageNumber="62" orientation="portrait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0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9.6640625" style="75" customWidth="1"/>
    <col min="2" max="2" width="6.83203125" style="76" customWidth="1"/>
    <col min="3" max="3" width="65.1640625" style="76" customWidth="1"/>
    <col min="4" max="4" width="14" style="76" hidden="1" customWidth="1"/>
    <col min="5" max="5" width="15.6640625" style="76" hidden="1" customWidth="1"/>
    <col min="6" max="6" width="18.83203125" style="76" customWidth="1"/>
    <col min="7" max="7" width="10.5" style="76" hidden="1" customWidth="1"/>
    <col min="8" max="16384" width="9.33203125" style="76"/>
  </cols>
  <sheetData>
    <row r="1" spans="1:7" s="326" customFormat="1" ht="21" customHeight="1" x14ac:dyDescent="0.2">
      <c r="A1" s="382"/>
      <c r="B1" s="383"/>
      <c r="C1" s="384"/>
      <c r="D1" s="1552" t="s">
        <v>520</v>
      </c>
      <c r="E1" s="1552"/>
      <c r="F1" s="1552"/>
      <c r="G1" s="1552"/>
    </row>
    <row r="2" spans="1:7" s="79" customFormat="1" ht="27" customHeight="1" x14ac:dyDescent="0.2">
      <c r="A2" s="1558" t="s">
        <v>495</v>
      </c>
      <c r="B2" s="1558"/>
      <c r="C2" s="77" t="s">
        <v>496</v>
      </c>
      <c r="D2" s="1523" t="s">
        <v>1024</v>
      </c>
      <c r="E2" s="343"/>
      <c r="F2" s="1523" t="s">
        <v>1420</v>
      </c>
      <c r="G2" s="385"/>
    </row>
    <row r="3" spans="1:7" s="79" customFormat="1" ht="31.5" customHeight="1" x14ac:dyDescent="0.2">
      <c r="A3" s="1559" t="s">
        <v>122</v>
      </c>
      <c r="B3" s="1559"/>
      <c r="C3" s="80" t="s">
        <v>525</v>
      </c>
      <c r="D3" s="1524"/>
      <c r="E3" s="327"/>
      <c r="F3" s="1524"/>
      <c r="G3" s="386"/>
    </row>
    <row r="4" spans="1:7" s="83" customFormat="1" ht="15.95" customHeight="1" x14ac:dyDescent="0.25">
      <c r="A4" s="344"/>
      <c r="B4" s="344"/>
      <c r="C4" s="344"/>
      <c r="D4" s="1527"/>
      <c r="E4" s="1527"/>
      <c r="F4" s="1527"/>
      <c r="G4" s="82" t="s">
        <v>79</v>
      </c>
    </row>
    <row r="5" spans="1:7" ht="27" customHeight="1" x14ac:dyDescent="0.2">
      <c r="A5" s="1557" t="s">
        <v>124</v>
      </c>
      <c r="B5" s="1557"/>
      <c r="C5" s="346" t="s">
        <v>125</v>
      </c>
      <c r="D5" s="347" t="s">
        <v>126</v>
      </c>
      <c r="E5" s="347" t="s">
        <v>127</v>
      </c>
      <c r="F5" s="347" t="s">
        <v>128</v>
      </c>
      <c r="G5" s="347" t="s">
        <v>1</v>
      </c>
    </row>
    <row r="6" spans="1:7" s="89" customFormat="1" ht="15" customHeight="1" x14ac:dyDescent="0.2">
      <c r="A6" s="93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/>
      <c r="E18" s="145"/>
      <c r="F18" s="145"/>
      <c r="G18" s="145"/>
    </row>
    <row r="19" spans="1:7" s="96" customFormat="1" ht="30" customHeight="1" x14ac:dyDescent="0.2">
      <c r="A19" s="93" t="s">
        <v>3</v>
      </c>
      <c r="B19" s="94"/>
      <c r="C19" s="1142" t="s">
        <v>1482</v>
      </c>
      <c r="D19" s="141">
        <f>SUM(D20:D25)</f>
        <v>0</v>
      </c>
      <c r="E19" s="141">
        <f t="shared" ref="E19:F19" si="1">SUM(E20:E25)</f>
        <v>0</v>
      </c>
      <c r="F19" s="141">
        <f t="shared" si="1"/>
        <v>0</v>
      </c>
      <c r="G19" s="141"/>
    </row>
    <row r="20" spans="1:7" s="99" customFormat="1" ht="32.25" customHeight="1" x14ac:dyDescent="0.2">
      <c r="A20" s="97"/>
      <c r="B20" s="98" t="s">
        <v>4</v>
      </c>
      <c r="C20" s="1151" t="s">
        <v>1483</v>
      </c>
      <c r="D20" s="142"/>
      <c r="E20" s="142"/>
      <c r="F20" s="142"/>
      <c r="G20" s="142"/>
    </row>
    <row r="21" spans="1:7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</row>
    <row r="22" spans="1:7" s="99" customFormat="1" ht="31.5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/>
      <c r="E23" s="142"/>
      <c r="F23" s="142"/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/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/>
      <c r="E25" s="142"/>
      <c r="F25" s="142"/>
      <c r="G25" s="142"/>
    </row>
    <row r="26" spans="1:7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customHeight="1" thickBot="1" x14ac:dyDescent="0.25">
      <c r="A28" s="1256" t="s">
        <v>68</v>
      </c>
      <c r="B28" s="94"/>
      <c r="C28" s="1156" t="s">
        <v>1505</v>
      </c>
      <c r="D28" s="119"/>
      <c r="E28" s="119"/>
      <c r="F28" s="119"/>
      <c r="G28" s="119"/>
    </row>
    <row r="29" spans="1:7" s="99" customFormat="1" ht="15" customHeight="1" x14ac:dyDescent="0.2">
      <c r="A29" s="97"/>
      <c r="B29" s="1160" t="s">
        <v>133</v>
      </c>
      <c r="C29" s="1144" t="s">
        <v>1489</v>
      </c>
      <c r="D29" s="1311"/>
      <c r="E29" s="1311"/>
      <c r="F29" s="1311"/>
      <c r="G29" s="1311"/>
    </row>
    <row r="30" spans="1:7" s="99" customFormat="1" ht="15" customHeight="1" x14ac:dyDescent="0.2">
      <c r="A30" s="97"/>
      <c r="B30" s="1160" t="s">
        <v>983</v>
      </c>
      <c r="C30" s="1144" t="s">
        <v>1490</v>
      </c>
      <c r="D30" s="1311"/>
      <c r="E30" s="1311"/>
      <c r="F30" s="1311"/>
      <c r="G30" s="1311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311"/>
      <c r="E31" s="1311"/>
      <c r="F31" s="1311"/>
      <c r="G31" s="1311"/>
    </row>
    <row r="32" spans="1:7" s="99" customFormat="1" ht="30.75" customHeight="1" thickBot="1" x14ac:dyDescent="0.25">
      <c r="A32" s="1256">
        <v>5</v>
      </c>
      <c r="B32" s="1161"/>
      <c r="C32" s="1156" t="s">
        <v>1506</v>
      </c>
      <c r="D32" s="142"/>
      <c r="E32" s="142"/>
      <c r="F32" s="142"/>
      <c r="G32" s="142"/>
    </row>
    <row r="33" spans="1:7" s="96" customFormat="1" ht="32.25" customHeight="1" thickBot="1" x14ac:dyDescent="0.25">
      <c r="A33" s="1216"/>
      <c r="B33" s="1162" t="s">
        <v>28</v>
      </c>
      <c r="C33" s="1151" t="s">
        <v>1492</v>
      </c>
      <c r="D33" s="142"/>
      <c r="E33" s="142"/>
      <c r="F33" s="142"/>
      <c r="G33" s="142"/>
    </row>
    <row r="34" spans="1:7" s="96" customFormat="1" ht="32.25" customHeight="1" thickBot="1" x14ac:dyDescent="0.3">
      <c r="A34" s="1216" t="s">
        <v>32</v>
      </c>
      <c r="B34" s="117"/>
      <c r="C34" s="1142" t="s">
        <v>1493</v>
      </c>
      <c r="D34" s="1175"/>
      <c r="E34" s="1175"/>
      <c r="F34" s="1175"/>
      <c r="G34" s="1175"/>
    </row>
    <row r="35" spans="1:7" s="96" customFormat="1" ht="32.25" customHeight="1" thickBot="1" x14ac:dyDescent="0.25">
      <c r="A35" s="1216"/>
      <c r="B35" s="1164" t="s">
        <v>33</v>
      </c>
      <c r="C35" s="1144" t="s">
        <v>1494</v>
      </c>
      <c r="D35" s="1175"/>
      <c r="E35" s="1175"/>
      <c r="F35" s="1175"/>
      <c r="G35" s="1175"/>
    </row>
    <row r="36" spans="1:7" s="96" customFormat="1" ht="15" customHeight="1" thickBot="1" x14ac:dyDescent="0.3">
      <c r="A36" s="1256" t="s">
        <v>74</v>
      </c>
      <c r="B36" s="117"/>
      <c r="C36" s="1156" t="s">
        <v>1495</v>
      </c>
      <c r="D36" s="148">
        <f>+D37+D38</f>
        <v>0</v>
      </c>
      <c r="E36" s="148">
        <f t="shared" ref="E36:F36" si="2">+E37+E38</f>
        <v>0</v>
      </c>
      <c r="F36" s="148">
        <f t="shared" si="2"/>
        <v>0</v>
      </c>
      <c r="G36" s="148"/>
    </row>
    <row r="37" spans="1:7" s="96" customFormat="1" ht="15" customHeight="1" x14ac:dyDescent="0.2">
      <c r="A37" s="1257"/>
      <c r="B37" s="1160" t="s">
        <v>36</v>
      </c>
      <c r="C37" s="1144" t="s">
        <v>1496</v>
      </c>
      <c r="D37" s="142"/>
      <c r="E37" s="142"/>
      <c r="F37" s="142"/>
      <c r="G37" s="142"/>
    </row>
    <row r="38" spans="1:7" s="96" customFormat="1" ht="15" customHeight="1" thickBot="1" x14ac:dyDescent="0.25">
      <c r="A38" s="1258"/>
      <c r="B38" s="1160" t="s">
        <v>37</v>
      </c>
      <c r="C38" s="1144" t="s">
        <v>1497</v>
      </c>
      <c r="D38" s="142"/>
      <c r="E38" s="142"/>
      <c r="F38" s="142"/>
      <c r="G38" s="142"/>
    </row>
    <row r="39" spans="1:7" s="99" customFormat="1" ht="15" customHeight="1" thickBot="1" x14ac:dyDescent="0.25">
      <c r="A39" s="116"/>
      <c r="B39" s="1160" t="s">
        <v>1499</v>
      </c>
      <c r="C39" s="1144" t="s">
        <v>1498</v>
      </c>
      <c r="D39" s="142">
        <v>40297</v>
      </c>
      <c r="E39" s="142">
        <v>40297</v>
      </c>
      <c r="F39" s="142">
        <v>32630</v>
      </c>
      <c r="G39" s="142">
        <f>F39/E39*100</f>
        <v>80.973769759535458</v>
      </c>
    </row>
    <row r="40" spans="1:7" s="99" customFormat="1" ht="15" hidden="1" customHeight="1" thickBot="1" x14ac:dyDescent="0.3">
      <c r="A40" s="116"/>
      <c r="B40" s="117"/>
      <c r="C40" s="2"/>
      <c r="D40" s="119"/>
      <c r="E40" s="119"/>
      <c r="F40" s="119"/>
      <c r="G40" s="119"/>
    </row>
    <row r="41" spans="1:7" s="99" customFormat="1" ht="18.75" customHeight="1" thickBot="1" x14ac:dyDescent="0.25">
      <c r="A41" s="150" t="s">
        <v>38</v>
      </c>
      <c r="B41" s="151"/>
      <c r="C41" s="354" t="s">
        <v>510</v>
      </c>
      <c r="D41" s="152">
        <f>SUM(D8,D19,D28,D32,D33,D36,D39)</f>
        <v>40297</v>
      </c>
      <c r="E41" s="152">
        <f t="shared" ref="E41:F41" si="3">SUM(E8,E19,E28,E32,E33,E36,E39)</f>
        <v>40297</v>
      </c>
      <c r="F41" s="152">
        <f t="shared" si="3"/>
        <v>32630</v>
      </c>
      <c r="G41" s="152">
        <f>F41/E41*100</f>
        <v>80.973769759535458</v>
      </c>
    </row>
    <row r="42" spans="1:7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</row>
    <row r="43" spans="1:7" s="89" customFormat="1" ht="15" customHeight="1" x14ac:dyDescent="0.2">
      <c r="A43" s="150"/>
      <c r="B43" s="151"/>
      <c r="C43" s="387" t="s">
        <v>82</v>
      </c>
      <c r="D43" s="152"/>
      <c r="E43" s="152"/>
      <c r="F43" s="152"/>
      <c r="G43" s="152"/>
    </row>
    <row r="44" spans="1:7" s="125" customFormat="1" ht="15" customHeight="1" x14ac:dyDescent="0.2">
      <c r="A44" s="93" t="s">
        <v>2</v>
      </c>
      <c r="B44" s="2"/>
      <c r="C44" s="10" t="s">
        <v>49</v>
      </c>
      <c r="D44" s="141">
        <f>SUM(D45:D49)</f>
        <v>40297</v>
      </c>
      <c r="E44" s="141">
        <f t="shared" ref="E44:F44" si="4">SUM(E45:E49)</f>
        <v>40297</v>
      </c>
      <c r="F44" s="141">
        <f t="shared" si="4"/>
        <v>32630</v>
      </c>
      <c r="G44" s="141">
        <f>F44/E44*100</f>
        <v>80.973769759535458</v>
      </c>
    </row>
    <row r="45" spans="1:7" ht="15" customHeight="1" x14ac:dyDescent="0.2">
      <c r="A45" s="113"/>
      <c r="B45" s="124" t="s">
        <v>50</v>
      </c>
      <c r="C45" s="7" t="s">
        <v>51</v>
      </c>
      <c r="D45" s="147">
        <v>24899</v>
      </c>
      <c r="E45" s="147">
        <v>24899</v>
      </c>
      <c r="F45" s="147">
        <v>25633</v>
      </c>
      <c r="G45" s="147">
        <f>F45/E45*100</f>
        <v>102.94790955460059</v>
      </c>
    </row>
    <row r="46" spans="1:7" ht="15" customHeight="1" x14ac:dyDescent="0.2">
      <c r="A46" s="97"/>
      <c r="B46" s="109" t="s">
        <v>52</v>
      </c>
      <c r="C46" s="3" t="s">
        <v>53</v>
      </c>
      <c r="D46" s="142">
        <v>6723</v>
      </c>
      <c r="E46" s="142">
        <v>6723</v>
      </c>
      <c r="F46" s="142">
        <v>6997</v>
      </c>
      <c r="G46" s="142">
        <f>F46/E46*100</f>
        <v>104.07556150528039</v>
      </c>
    </row>
    <row r="47" spans="1:7" ht="15" customHeight="1" x14ac:dyDescent="0.2">
      <c r="A47" s="97"/>
      <c r="B47" s="109" t="s">
        <v>54</v>
      </c>
      <c r="C47" s="3" t="s">
        <v>55</v>
      </c>
      <c r="D47" s="142">
        <v>8675</v>
      </c>
      <c r="E47" s="142">
        <v>8675</v>
      </c>
      <c r="F47" s="142"/>
      <c r="G47" s="142">
        <f>F47/E47*100</f>
        <v>0</v>
      </c>
    </row>
    <row r="48" spans="1:7" ht="15" customHeight="1" x14ac:dyDescent="0.2">
      <c r="A48" s="97"/>
      <c r="B48" s="109" t="s">
        <v>56</v>
      </c>
      <c r="C48" s="3" t="s">
        <v>57</v>
      </c>
      <c r="D48" s="142"/>
      <c r="E48" s="142"/>
      <c r="F48" s="142"/>
      <c r="G48" s="142"/>
    </row>
    <row r="49" spans="1:7" ht="15" customHeight="1" thickBot="1" x14ac:dyDescent="0.25">
      <c r="A49" s="97"/>
      <c r="B49" s="109" t="s">
        <v>58</v>
      </c>
      <c r="C49" s="3" t="s">
        <v>59</v>
      </c>
      <c r="D49" s="142"/>
      <c r="E49" s="142"/>
      <c r="F49" s="142"/>
      <c r="G49" s="142"/>
    </row>
    <row r="50" spans="1:7" ht="15" customHeight="1" thickBot="1" x14ac:dyDescent="0.25">
      <c r="A50" s="1256" t="s">
        <v>3</v>
      </c>
      <c r="B50" s="2"/>
      <c r="C50" s="10" t="s">
        <v>1513</v>
      </c>
      <c r="D50" s="141">
        <f>SUM(D51:D54)</f>
        <v>0</v>
      </c>
      <c r="E50" s="141">
        <f t="shared" ref="E50" si="5">SUM(E51:E54)</f>
        <v>0</v>
      </c>
      <c r="F50" s="141">
        <f>SUM(F51:F54)</f>
        <v>0</v>
      </c>
      <c r="G50" s="141"/>
    </row>
    <row r="51" spans="1:7" s="125" customFormat="1" ht="15" customHeight="1" x14ac:dyDescent="0.2">
      <c r="A51" s="113"/>
      <c r="B51" s="1165" t="s">
        <v>4</v>
      </c>
      <c r="C51" s="1151" t="s">
        <v>1173</v>
      </c>
      <c r="D51" s="147"/>
      <c r="E51" s="147"/>
      <c r="F51" s="147"/>
      <c r="G51" s="147"/>
    </row>
    <row r="52" spans="1:7" ht="15" customHeight="1" x14ac:dyDescent="0.2">
      <c r="A52" s="97"/>
      <c r="B52" s="1166" t="s">
        <v>6</v>
      </c>
      <c r="C52" s="1144" t="s">
        <v>64</v>
      </c>
      <c r="D52" s="142"/>
      <c r="E52" s="142"/>
      <c r="F52" s="142"/>
      <c r="G52" s="142"/>
    </row>
    <row r="53" spans="1:7" ht="15" customHeight="1" thickBot="1" x14ac:dyDescent="0.25">
      <c r="A53" s="97"/>
      <c r="B53" s="1166" t="s">
        <v>7</v>
      </c>
      <c r="C53" s="1144" t="s">
        <v>1500</v>
      </c>
      <c r="D53" s="142"/>
      <c r="E53" s="142"/>
      <c r="F53" s="142"/>
      <c r="G53" s="142"/>
    </row>
    <row r="54" spans="1:7" ht="15" hidden="1" customHeight="1" thickBot="1" x14ac:dyDescent="0.25">
      <c r="A54" s="1256"/>
      <c r="B54" s="2"/>
      <c r="C54" s="10"/>
      <c r="D54" s="142"/>
      <c r="E54" s="142"/>
      <c r="F54" s="142"/>
      <c r="G54" s="142"/>
    </row>
    <row r="55" spans="1:7" ht="15" customHeight="1" thickBot="1" x14ac:dyDescent="0.25">
      <c r="A55" s="93" t="s">
        <v>12</v>
      </c>
      <c r="B55" s="2"/>
      <c r="C55" s="10" t="s">
        <v>514</v>
      </c>
      <c r="D55" s="119"/>
      <c r="E55" s="119"/>
      <c r="F55" s="119"/>
      <c r="G55" s="119"/>
    </row>
    <row r="56" spans="1:7" s="99" customFormat="1" ht="15" hidden="1" customHeight="1" x14ac:dyDescent="0.2">
      <c r="A56" s="93"/>
      <c r="B56" s="2"/>
      <c r="C56" s="10"/>
      <c r="D56" s="119"/>
      <c r="E56" s="119"/>
      <c r="F56" s="119"/>
      <c r="G56" s="119"/>
    </row>
    <row r="57" spans="1:7" s="389" customFormat="1" ht="15" customHeight="1" thickBot="1" x14ac:dyDescent="0.25">
      <c r="A57" s="150" t="s">
        <v>68</v>
      </c>
      <c r="B57" s="151"/>
      <c r="C57" s="354" t="s">
        <v>516</v>
      </c>
      <c r="D57" s="152">
        <f>+D44+D50+D55</f>
        <v>40297</v>
      </c>
      <c r="E57" s="152">
        <f t="shared" ref="E57:F57" si="6">+E44+E50+E55</f>
        <v>40297</v>
      </c>
      <c r="F57" s="152">
        <f t="shared" si="6"/>
        <v>32630</v>
      </c>
      <c r="G57" s="152">
        <f>F57/E57*100</f>
        <v>80.973769759535458</v>
      </c>
    </row>
    <row r="58" spans="1:7" ht="15" customHeight="1" thickBot="1" x14ac:dyDescent="0.25">
      <c r="A58" s="131"/>
      <c r="B58" s="132"/>
      <c r="C58" s="132"/>
      <c r="D58" s="132"/>
      <c r="E58" s="132"/>
      <c r="F58" s="132"/>
      <c r="G58" s="132"/>
    </row>
    <row r="59" spans="1:7" ht="15" customHeight="1" x14ac:dyDescent="0.2">
      <c r="A59" s="133" t="s">
        <v>136</v>
      </c>
      <c r="B59" s="134"/>
      <c r="C59" s="135"/>
      <c r="D59" s="356">
        <v>0</v>
      </c>
      <c r="E59" s="356">
        <v>0</v>
      </c>
      <c r="F59" s="356">
        <v>0</v>
      </c>
      <c r="G59" s="356"/>
    </row>
    <row r="60" spans="1:7" ht="15" customHeight="1" x14ac:dyDescent="0.2">
      <c r="A60" s="133" t="s">
        <v>137</v>
      </c>
      <c r="B60" s="134"/>
      <c r="C60" s="135"/>
      <c r="D60" s="356"/>
      <c r="E60" s="356"/>
      <c r="F60" s="356"/>
      <c r="G60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5433070866141736" right="0.23622047244094491" top="0.43307086614173229" bottom="0.39370078740157483" header="0.23622047244094491" footer="0.15748031496062992"/>
  <pageSetup paperSize="9" scale="77" firstPageNumber="64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"/>
  <sheetViews>
    <sheetView view="pageBreakPreview" zoomScaleSheetLayoutView="100" workbookViewId="0">
      <selection activeCell="L7" sqref="L7"/>
    </sheetView>
  </sheetViews>
  <sheetFormatPr defaultRowHeight="12.75" x14ac:dyDescent="0.2"/>
  <cols>
    <col min="1" max="1" width="6.1640625" style="11" customWidth="1"/>
    <col min="2" max="2" width="49.5" style="12" customWidth="1"/>
    <col min="3" max="3" width="12.5" style="11" hidden="1" customWidth="1"/>
    <col min="4" max="4" width="14.33203125" style="11" hidden="1" customWidth="1"/>
    <col min="5" max="5" width="15.33203125" style="11" customWidth="1"/>
    <col min="6" max="6" width="46.5" style="11" customWidth="1"/>
    <col min="7" max="7" width="12.5" style="11" hidden="1" customWidth="1"/>
    <col min="8" max="8" width="13.33203125" style="11" hidden="1" customWidth="1"/>
    <col min="9" max="9" width="13.33203125" style="11" bestFit="1" customWidth="1"/>
    <col min="10" max="10" width="9.33203125" style="11"/>
    <col min="11" max="11" width="9.1640625" style="11" customWidth="1"/>
    <col min="12" max="16384" width="9.33203125" style="11"/>
  </cols>
  <sheetData>
    <row r="1" spans="1:10" ht="37.5" customHeight="1" x14ac:dyDescent="0.2">
      <c r="A1" s="1517" t="s">
        <v>1882</v>
      </c>
      <c r="B1" s="1517"/>
      <c r="C1" s="1517"/>
      <c r="D1" s="1517"/>
      <c r="E1" s="1517"/>
      <c r="F1" s="1517"/>
      <c r="G1" s="1517"/>
      <c r="H1" s="1517"/>
      <c r="I1" s="1517"/>
      <c r="J1" s="1514"/>
    </row>
    <row r="2" spans="1:10" ht="16.5" customHeight="1" thickBot="1" x14ac:dyDescent="0.25">
      <c r="G2" s="1515" t="s">
        <v>79</v>
      </c>
      <c r="H2" s="1515"/>
      <c r="I2" s="1515"/>
      <c r="J2" s="1514"/>
    </row>
    <row r="3" spans="1:10" ht="18" customHeight="1" thickBot="1" x14ac:dyDescent="0.25">
      <c r="A3" s="1516" t="s">
        <v>80</v>
      </c>
      <c r="B3" s="1516" t="s">
        <v>81</v>
      </c>
      <c r="C3" s="1516"/>
      <c r="D3" s="1516"/>
      <c r="E3" s="1516"/>
      <c r="F3" s="1518" t="s">
        <v>82</v>
      </c>
      <c r="G3" s="1519"/>
      <c r="H3" s="909"/>
      <c r="I3" s="910"/>
      <c r="J3" s="1514"/>
    </row>
    <row r="4" spans="1:10" s="17" customFormat="1" ht="45.75" customHeight="1" thickBot="1" x14ac:dyDescent="0.25">
      <c r="A4" s="1516"/>
      <c r="B4" s="14" t="s">
        <v>83</v>
      </c>
      <c r="C4" s="15" t="s">
        <v>1032</v>
      </c>
      <c r="D4" s="15" t="s">
        <v>1316</v>
      </c>
      <c r="E4" s="15" t="s">
        <v>1458</v>
      </c>
      <c r="F4" s="14" t="s">
        <v>83</v>
      </c>
      <c r="G4" s="15" t="s">
        <v>1032</v>
      </c>
      <c r="H4" s="15" t="s">
        <v>1316</v>
      </c>
      <c r="I4" s="15" t="s">
        <v>1458</v>
      </c>
      <c r="J4" s="1514"/>
    </row>
    <row r="5" spans="1:10" s="18" customFormat="1" ht="15" customHeight="1" x14ac:dyDescent="0.2">
      <c r="A5" s="13">
        <v>1</v>
      </c>
      <c r="B5" s="14">
        <v>2</v>
      </c>
      <c r="C5" s="15" t="s">
        <v>12</v>
      </c>
      <c r="D5" s="15">
        <v>4</v>
      </c>
      <c r="E5" s="15">
        <v>5</v>
      </c>
      <c r="F5" s="14">
        <v>6</v>
      </c>
      <c r="G5" s="16">
        <v>7</v>
      </c>
      <c r="H5" s="16">
        <v>7</v>
      </c>
      <c r="I5" s="16">
        <v>7</v>
      </c>
      <c r="J5" s="1514"/>
    </row>
    <row r="6" spans="1:10" ht="15" customHeight="1" x14ac:dyDescent="0.2">
      <c r="A6" s="19" t="s">
        <v>2</v>
      </c>
      <c r="B6" s="20" t="s">
        <v>1779</v>
      </c>
      <c r="C6" s="21" t="e">
        <f>SUM(#REF!)</f>
        <v>#REF!</v>
      </c>
      <c r="D6" s="21" t="e">
        <f>SUM(#REF!)</f>
        <v>#REF!</v>
      </c>
      <c r="E6" s="21">
        <f>SUM('2. sz. mell'!F16)</f>
        <v>356590</v>
      </c>
      <c r="F6" s="20" t="s">
        <v>84</v>
      </c>
      <c r="G6" s="22" t="e">
        <f>SUM(#REF!)</f>
        <v>#REF!</v>
      </c>
      <c r="H6" s="22" t="e">
        <f>SUM(#REF!)</f>
        <v>#REF!</v>
      </c>
      <c r="I6" s="22">
        <f>SUM('2. sz. mell'!F42)</f>
        <v>980939</v>
      </c>
      <c r="J6" s="1514"/>
    </row>
    <row r="7" spans="1:10" ht="30" customHeight="1" x14ac:dyDescent="0.2">
      <c r="A7" s="23" t="s">
        <v>3</v>
      </c>
      <c r="B7" s="24" t="s">
        <v>1614</v>
      </c>
      <c r="C7" s="25"/>
      <c r="D7" s="25"/>
      <c r="E7" s="25">
        <f>SUM('2. sz. mell'!F26)</f>
        <v>991320</v>
      </c>
      <c r="F7" s="24" t="s">
        <v>1207</v>
      </c>
      <c r="G7" s="22" t="e">
        <f>SUM(#REF!)</f>
        <v>#REF!</v>
      </c>
      <c r="H7" s="22" t="e">
        <f>SUM(#REF!)</f>
        <v>#REF!</v>
      </c>
      <c r="I7" s="22">
        <f>SUM('2. sz. mell'!F43)</f>
        <v>269286</v>
      </c>
      <c r="J7" s="1514"/>
    </row>
    <row r="8" spans="1:10" ht="15" customHeight="1" x14ac:dyDescent="0.2">
      <c r="A8" s="23" t="s">
        <v>12</v>
      </c>
      <c r="B8" s="24" t="s">
        <v>85</v>
      </c>
      <c r="C8" s="25" t="e">
        <f>SUM(#REF!)</f>
        <v>#REF!</v>
      </c>
      <c r="D8" s="25" t="e">
        <f>SUM(#REF!)</f>
        <v>#REF!</v>
      </c>
      <c r="E8" s="25">
        <f>SUM('2. sz. mell'!F8)</f>
        <v>1610000</v>
      </c>
      <c r="F8" s="24" t="s">
        <v>86</v>
      </c>
      <c r="G8" s="22" t="e">
        <f>SUM(#REF!)</f>
        <v>#REF!</v>
      </c>
      <c r="H8" s="22" t="e">
        <f>SUM(#REF!)</f>
        <v>#REF!</v>
      </c>
      <c r="I8" s="22">
        <f>SUM('2. sz. mell'!F44)</f>
        <v>1358173</v>
      </c>
      <c r="J8" s="1514"/>
    </row>
    <row r="9" spans="1:10" ht="28.5" customHeight="1" x14ac:dyDescent="0.2">
      <c r="A9" s="23" t="s">
        <v>68</v>
      </c>
      <c r="B9" s="26" t="s">
        <v>1762</v>
      </c>
      <c r="C9" s="25" t="e">
        <f>SUM(#REF!)</f>
        <v>#REF!</v>
      </c>
      <c r="D9" s="25" t="e">
        <f>SUM(#REF!)</f>
        <v>#REF!</v>
      </c>
      <c r="E9" s="25"/>
      <c r="F9" s="3" t="s">
        <v>57</v>
      </c>
      <c r="G9" s="22" t="e">
        <f>SUM(#REF!)</f>
        <v>#REF!</v>
      </c>
      <c r="H9" s="22" t="e">
        <f>SUM(#REF!)</f>
        <v>#REF!</v>
      </c>
      <c r="I9" s="22">
        <f>SUM('2. sz. mell'!F45)</f>
        <v>40000</v>
      </c>
      <c r="J9" s="1514"/>
    </row>
    <row r="10" spans="1:10" ht="15" customHeight="1" x14ac:dyDescent="0.2">
      <c r="A10" s="23" t="s">
        <v>27</v>
      </c>
      <c r="B10" s="24" t="s">
        <v>1629</v>
      </c>
      <c r="C10" s="25" t="e">
        <f>SUM(#REF!)</f>
        <v>#REF!</v>
      </c>
      <c r="D10" s="25" t="e">
        <f>SUM(#REF!)</f>
        <v>#REF!</v>
      </c>
      <c r="E10" s="25"/>
      <c r="F10" s="24" t="s">
        <v>59</v>
      </c>
      <c r="G10" s="27" t="e">
        <f>SUM(#REF!)</f>
        <v>#REF!</v>
      </c>
      <c r="H10" s="27" t="e">
        <f>SUM(#REF!)</f>
        <v>#REF!</v>
      </c>
      <c r="I10" s="22">
        <f>SUM('2. sz. mell'!F46)</f>
        <v>294941</v>
      </c>
      <c r="J10" s="1514"/>
    </row>
    <row r="11" spans="1:10" ht="15" customHeight="1" x14ac:dyDescent="0.2">
      <c r="A11" s="23" t="s">
        <v>32</v>
      </c>
      <c r="B11" s="24"/>
      <c r="C11" s="28"/>
      <c r="D11" s="28" t="e">
        <f>SUM(#REF!)</f>
        <v>#REF!</v>
      </c>
      <c r="E11" s="28"/>
      <c r="F11" s="24"/>
      <c r="G11" s="27" t="e">
        <f>SUM(#REF!+#REF!)</f>
        <v>#REF!</v>
      </c>
      <c r="H11" s="27" t="e">
        <f>SUM(#REF!+#REF!)</f>
        <v>#REF!</v>
      </c>
      <c r="I11" s="27"/>
      <c r="J11" s="1514"/>
    </row>
    <row r="12" spans="1:10" ht="30.75" customHeight="1" x14ac:dyDescent="0.2">
      <c r="A12" s="23" t="s">
        <v>74</v>
      </c>
      <c r="B12" s="24"/>
      <c r="C12" s="28"/>
      <c r="D12" s="28"/>
      <c r="E12" s="28"/>
      <c r="F12" s="24"/>
      <c r="G12" s="27"/>
      <c r="H12" s="27" t="e">
        <f>SUM(#REF!)</f>
        <v>#REF!</v>
      </c>
      <c r="I12" s="27"/>
      <c r="J12" s="1514"/>
    </row>
    <row r="13" spans="1:10" ht="15" customHeight="1" x14ac:dyDescent="0.2">
      <c r="A13" s="23" t="s">
        <v>38</v>
      </c>
      <c r="B13" s="24"/>
      <c r="C13" s="28"/>
      <c r="D13" s="28"/>
      <c r="E13" s="28"/>
      <c r="F13" s="24"/>
      <c r="G13" s="27"/>
      <c r="H13" s="27"/>
      <c r="I13" s="27"/>
      <c r="J13" s="1514"/>
    </row>
    <row r="14" spans="1:10" ht="15" customHeight="1" x14ac:dyDescent="0.2">
      <c r="A14" s="23" t="s">
        <v>88</v>
      </c>
      <c r="B14" s="24" t="s">
        <v>986</v>
      </c>
      <c r="C14" s="28"/>
      <c r="D14" s="28"/>
      <c r="E14" s="28">
        <f>SUM('4. sz. mell.'!F20+'5. sz. mell. '!F22)</f>
        <v>0</v>
      </c>
      <c r="F14" s="24"/>
      <c r="G14" s="27"/>
      <c r="H14" s="27"/>
      <c r="I14" s="27"/>
      <c r="J14" s="1514"/>
    </row>
    <row r="15" spans="1:10" ht="15" customHeight="1" thickBot="1" x14ac:dyDescent="0.25">
      <c r="A15" s="23" t="s">
        <v>45</v>
      </c>
      <c r="B15" s="29"/>
      <c r="C15" s="30"/>
      <c r="D15" s="30"/>
      <c r="E15" s="30"/>
      <c r="F15" s="24" t="s">
        <v>986</v>
      </c>
      <c r="G15" s="31"/>
      <c r="H15" s="31"/>
      <c r="I15" s="31"/>
      <c r="J15" s="1514"/>
    </row>
    <row r="16" spans="1:10" ht="15" customHeight="1" x14ac:dyDescent="0.2">
      <c r="A16" s="32" t="s">
        <v>46</v>
      </c>
      <c r="B16" s="33" t="s">
        <v>89</v>
      </c>
      <c r="C16" s="34" t="e">
        <f>SUM(C6:C15)</f>
        <v>#REF!</v>
      </c>
      <c r="D16" s="34" t="e">
        <f t="shared" ref="D16" si="0">SUM(D6:D15)</f>
        <v>#REF!</v>
      </c>
      <c r="E16" s="34">
        <f>SUM(E6:E8)-E14</f>
        <v>2957910</v>
      </c>
      <c r="F16" s="35" t="s">
        <v>90</v>
      </c>
      <c r="G16" s="36" t="e">
        <f>SUM(G6:G15)</f>
        <v>#REF!</v>
      </c>
      <c r="H16" s="36" t="e">
        <f t="shared" ref="H16" si="1">SUM(H6:H15)</f>
        <v>#REF!</v>
      </c>
      <c r="I16" s="36">
        <f>SUM(I6:I15)</f>
        <v>2943339</v>
      </c>
      <c r="J16" s="1514"/>
    </row>
    <row r="17" spans="1:10" ht="15" customHeight="1" x14ac:dyDescent="0.2">
      <c r="A17" s="37" t="s">
        <v>47</v>
      </c>
      <c r="B17" s="38" t="s">
        <v>1632</v>
      </c>
      <c r="C17" s="39"/>
      <c r="D17" s="39" t="e">
        <f>SUM(#REF!)</f>
        <v>#REF!</v>
      </c>
      <c r="E17" s="39">
        <f>SUM(E18:E19)</f>
        <v>0</v>
      </c>
      <c r="F17" s="24"/>
      <c r="G17" s="40"/>
      <c r="H17" s="40"/>
      <c r="I17" s="40"/>
      <c r="J17" s="1514"/>
    </row>
    <row r="18" spans="1:10" ht="31.5" customHeight="1" x14ac:dyDescent="0.2">
      <c r="A18" s="41" t="s">
        <v>91</v>
      </c>
      <c r="B18" s="24" t="s">
        <v>1606</v>
      </c>
      <c r="C18" s="42"/>
      <c r="D18" s="42"/>
      <c r="E18" s="42">
        <f>SUM('2. sz. mell'!F34)</f>
        <v>0</v>
      </c>
      <c r="F18" s="24"/>
      <c r="G18" s="43"/>
      <c r="H18" s="43"/>
      <c r="I18" s="43"/>
      <c r="J18" s="1514"/>
    </row>
    <row r="19" spans="1:10" ht="15" customHeight="1" x14ac:dyDescent="0.2">
      <c r="A19" s="23" t="s">
        <v>92</v>
      </c>
      <c r="B19" s="20" t="s">
        <v>1628</v>
      </c>
      <c r="C19" s="44"/>
      <c r="D19" s="44"/>
      <c r="E19" s="44"/>
      <c r="F19" s="24"/>
      <c r="G19" s="43"/>
      <c r="H19" s="43"/>
      <c r="I19" s="43"/>
      <c r="J19" s="1514"/>
    </row>
    <row r="20" spans="1:10" ht="15" customHeight="1" x14ac:dyDescent="0.2">
      <c r="A20" s="23" t="s">
        <v>93</v>
      </c>
      <c r="B20" s="20"/>
      <c r="C20" s="710" t="e">
        <f>SUM(#REF!)</f>
        <v>#REF!</v>
      </c>
      <c r="D20" s="44" t="e">
        <f>SUM(#REF!)</f>
        <v>#REF!</v>
      </c>
      <c r="E20" s="44"/>
      <c r="F20" s="24"/>
      <c r="G20" s="43"/>
      <c r="H20" s="43"/>
      <c r="I20" s="43"/>
      <c r="J20" s="1514"/>
    </row>
    <row r="21" spans="1:10" ht="30" customHeight="1" x14ac:dyDescent="0.2">
      <c r="A21" s="23" t="s">
        <v>94</v>
      </c>
      <c r="B21" s="24"/>
      <c r="C21" s="44"/>
      <c r="D21" s="44"/>
      <c r="E21" s="44"/>
      <c r="F21" s="45"/>
      <c r="G21" s="43"/>
      <c r="H21" s="43"/>
      <c r="I21" s="43"/>
      <c r="J21" s="1514"/>
    </row>
    <row r="22" spans="1:10" ht="30" customHeight="1" x14ac:dyDescent="0.2">
      <c r="A22" s="23" t="s">
        <v>95</v>
      </c>
      <c r="B22" s="45"/>
      <c r="C22" s="44"/>
      <c r="D22" s="44"/>
      <c r="E22" s="44"/>
      <c r="F22" s="24"/>
      <c r="G22" s="43"/>
      <c r="H22" s="43"/>
      <c r="I22" s="43"/>
      <c r="J22" s="1514"/>
    </row>
    <row r="23" spans="1:10" ht="30" customHeight="1" x14ac:dyDescent="0.2">
      <c r="A23" s="46" t="s">
        <v>96</v>
      </c>
      <c r="B23" s="24"/>
      <c r="C23" s="47"/>
      <c r="D23" s="47"/>
      <c r="E23" s="47"/>
      <c r="F23" s="20"/>
      <c r="G23" s="40"/>
      <c r="H23" s="40"/>
      <c r="I23" s="40"/>
      <c r="J23" s="1514"/>
    </row>
    <row r="24" spans="1:10" ht="15" customHeight="1" x14ac:dyDescent="0.2">
      <c r="A24" s="23" t="s">
        <v>97</v>
      </c>
      <c r="B24" s="48"/>
      <c r="C24" s="44"/>
      <c r="D24" s="44"/>
      <c r="E24" s="44"/>
      <c r="F24" s="24"/>
      <c r="G24" s="43"/>
      <c r="H24" s="43"/>
      <c r="I24" s="43"/>
      <c r="J24" s="1514"/>
    </row>
    <row r="25" spans="1:10" ht="15" customHeight="1" thickBot="1" x14ac:dyDescent="0.25">
      <c r="A25" s="19" t="s">
        <v>98</v>
      </c>
      <c r="B25" s="29"/>
      <c r="C25" s="49"/>
      <c r="D25" s="49"/>
      <c r="E25" s="49"/>
      <c r="F25" s="20"/>
      <c r="G25" s="50"/>
      <c r="H25" s="50"/>
      <c r="I25" s="50"/>
      <c r="J25" s="1514"/>
    </row>
    <row r="26" spans="1:10" ht="15" customHeight="1" thickBot="1" x14ac:dyDescent="0.25">
      <c r="A26" s="32" t="s">
        <v>101</v>
      </c>
      <c r="B26" s="33" t="s">
        <v>1323</v>
      </c>
      <c r="C26" s="34" t="e">
        <f>SUM(C17:C25)</f>
        <v>#REF!</v>
      </c>
      <c r="D26" s="34" t="e">
        <f>SUM(D17:D25)</f>
        <v>#REF!</v>
      </c>
      <c r="E26" s="34">
        <f>SUM(E17)</f>
        <v>0</v>
      </c>
      <c r="F26" s="33" t="s">
        <v>102</v>
      </c>
      <c r="G26" s="36">
        <f>SUM(G17:G25)</f>
        <v>0</v>
      </c>
      <c r="H26" s="36">
        <f>SUM(H17:H25)</f>
        <v>0</v>
      </c>
      <c r="I26" s="36">
        <f>SUM(I17:I25)</f>
        <v>0</v>
      </c>
      <c r="J26" s="1514"/>
    </row>
    <row r="27" spans="1:10" ht="18.75" customHeight="1" x14ac:dyDescent="0.2">
      <c r="A27" s="51" t="s">
        <v>103</v>
      </c>
      <c r="B27" s="52" t="s">
        <v>1633</v>
      </c>
      <c r="C27" s="53" t="e">
        <f>+C16+C18+C26</f>
        <v>#REF!</v>
      </c>
      <c r="D27" s="53" t="e">
        <f>+D16+D18+D26</f>
        <v>#REF!</v>
      </c>
      <c r="E27" s="53">
        <f>+E16-E26</f>
        <v>2957910</v>
      </c>
      <c r="F27" s="52" t="s">
        <v>104</v>
      </c>
      <c r="G27" s="54" t="e">
        <f>+G16+G26</f>
        <v>#REF!</v>
      </c>
      <c r="H27" s="54" t="e">
        <f>+H16+H26</f>
        <v>#REF!</v>
      </c>
      <c r="I27" s="54">
        <f>+I16+I26</f>
        <v>2943339</v>
      </c>
      <c r="J27" s="1514"/>
    </row>
    <row r="28" spans="1:10" ht="17.25" customHeight="1" x14ac:dyDescent="0.2">
      <c r="A28" s="51" t="s">
        <v>105</v>
      </c>
      <c r="B28" s="52" t="s">
        <v>106</v>
      </c>
      <c r="C28" s="55" t="e">
        <f>IF(((G16-C16)&gt;0),G16-C16,"----")</f>
        <v>#REF!</v>
      </c>
      <c r="D28" s="55" t="e">
        <f>IF(((H16-D16)&gt;0),H16-D16,"----")</f>
        <v>#REF!</v>
      </c>
      <c r="E28" s="55" t="str">
        <f>IF(((I16-E16)&gt;0),I16-E16,"----")</f>
        <v>----</v>
      </c>
      <c r="F28" s="52" t="s">
        <v>107</v>
      </c>
      <c r="G28" s="56" t="e">
        <f>IF(((C16-G16)&gt;0),C16-G16,"----")</f>
        <v>#REF!</v>
      </c>
      <c r="H28" s="56" t="e">
        <f>IF(((D16-H16)&gt;0),D16-H16,"----")</f>
        <v>#REF!</v>
      </c>
      <c r="I28" s="56">
        <f>IF(((E16-I16)&gt;0),E16-I16,"----")</f>
        <v>14571</v>
      </c>
      <c r="J28" s="1514"/>
    </row>
    <row r="31" spans="1:10" ht="15.75" x14ac:dyDescent="0.2">
      <c r="B31" s="57"/>
    </row>
    <row r="33" spans="2:11" ht="18.75" x14ac:dyDescent="0.2">
      <c r="B33" s="58" t="s">
        <v>108</v>
      </c>
      <c r="C33" s="59" t="e">
        <f>SUM(C16)</f>
        <v>#REF!</v>
      </c>
      <c r="D33" s="59" t="e">
        <f>SUM(D16)</f>
        <v>#REF!</v>
      </c>
      <c r="E33" s="59">
        <f>SUM(E16)</f>
        <v>2957910</v>
      </c>
      <c r="F33" s="927" t="s">
        <v>108</v>
      </c>
      <c r="G33" s="59" t="e">
        <f>SUM(C27)</f>
        <v>#REF!</v>
      </c>
      <c r="H33" s="59" t="e">
        <f t="shared" ref="H33:I33" si="2">SUM(D27)</f>
        <v>#REF!</v>
      </c>
      <c r="I33" s="59">
        <f t="shared" si="2"/>
        <v>2957910</v>
      </c>
    </row>
    <row r="34" spans="2:11" ht="19.5" thickBot="1" x14ac:dyDescent="0.25">
      <c r="B34" s="58" t="s">
        <v>109</v>
      </c>
      <c r="C34" s="59" t="e">
        <f>SUM('1.2.sz.mell  '!C16)</f>
        <v>#REF!</v>
      </c>
      <c r="D34" s="59" t="e">
        <f>SUM('1.2.sz.mell  '!D16)</f>
        <v>#REF!</v>
      </c>
      <c r="E34" s="59">
        <f>SUM('1.2.sz.mell  '!E16)</f>
        <v>251000</v>
      </c>
      <c r="F34" s="927" t="s">
        <v>109</v>
      </c>
      <c r="G34" s="59" t="e">
        <f>SUM('1.2.sz.mell  '!C27)</f>
        <v>#REF!</v>
      </c>
      <c r="H34" s="59" t="e">
        <f>SUM('1.2.sz.mell  '!D27)</f>
        <v>#REF!</v>
      </c>
      <c r="I34" s="59">
        <f>SUM('1.2.sz.mell  '!E27)</f>
        <v>251000</v>
      </c>
    </row>
    <row r="35" spans="2:11" ht="19.5" thickBot="1" x14ac:dyDescent="0.25">
      <c r="B35" s="943" t="s">
        <v>110</v>
      </c>
      <c r="C35" s="941" t="e">
        <f>SUM(C33:C34)</f>
        <v>#REF!</v>
      </c>
      <c r="D35" s="941" t="e">
        <f>SUM(D33:D34)</f>
        <v>#REF!</v>
      </c>
      <c r="E35" s="942">
        <f>SUM(E33:E34)</f>
        <v>3208910</v>
      </c>
      <c r="F35" s="940" t="s">
        <v>110</v>
      </c>
      <c r="G35" s="941" t="e">
        <f>SUM(G33:G34)</f>
        <v>#REF!</v>
      </c>
      <c r="H35" s="941" t="e">
        <f>SUM(H33:H34)</f>
        <v>#REF!</v>
      </c>
      <c r="I35" s="942">
        <f>SUM(I33:I34)</f>
        <v>3208910</v>
      </c>
    </row>
    <row r="36" spans="2:11" ht="15.75" x14ac:dyDescent="0.2">
      <c r="C36" s="60"/>
      <c r="D36" s="60"/>
      <c r="E36" s="60"/>
      <c r="F36" s="928"/>
    </row>
    <row r="37" spans="2:11" ht="18.75" x14ac:dyDescent="0.2">
      <c r="B37" s="11"/>
      <c r="F37" s="927" t="s">
        <v>111</v>
      </c>
      <c r="G37" s="60" t="e">
        <f>SUM(#REF!)</f>
        <v>#REF!</v>
      </c>
      <c r="H37" s="60" t="e">
        <f>SUM(#REF!)</f>
        <v>#REF!</v>
      </c>
      <c r="I37" s="60">
        <f>SUM('2. sz. mell'!F38)</f>
        <v>3208910</v>
      </c>
    </row>
    <row r="38" spans="2:11" ht="18.75" x14ac:dyDescent="0.2">
      <c r="B38" s="925" t="s">
        <v>1317</v>
      </c>
      <c r="C38" s="123"/>
      <c r="D38" s="123"/>
      <c r="E38" s="123"/>
      <c r="F38" s="929"/>
      <c r="G38" s="61"/>
      <c r="H38" s="61"/>
      <c r="I38" s="936"/>
    </row>
    <row r="39" spans="2:11" ht="18.75" x14ac:dyDescent="0.2">
      <c r="B39" s="58" t="s">
        <v>1319</v>
      </c>
      <c r="C39" s="59">
        <v>2914996</v>
      </c>
      <c r="D39" s="59">
        <v>3163614</v>
      </c>
      <c r="E39" s="59"/>
      <c r="F39" s="930" t="s">
        <v>112</v>
      </c>
      <c r="G39" s="923" t="e">
        <f>SUM(G37-G35)</f>
        <v>#REF!</v>
      </c>
      <c r="H39" s="923" t="e">
        <f>SUM(H37-H35)</f>
        <v>#REF!</v>
      </c>
      <c r="I39" s="924">
        <f>SUM(I37-I35)</f>
        <v>0</v>
      </c>
      <c r="K39" s="326"/>
    </row>
    <row r="40" spans="2:11" ht="18.75" x14ac:dyDescent="0.2">
      <c r="B40" s="58" t="s">
        <v>1318</v>
      </c>
      <c r="C40" s="923" t="e">
        <f>SUM(C39-C33)</f>
        <v>#REF!</v>
      </c>
      <c r="D40" s="923" t="e">
        <f>SUM(D39-D33)</f>
        <v>#REF!</v>
      </c>
      <c r="E40" s="926">
        <f>SUM(E39-E33)</f>
        <v>-2957910</v>
      </c>
      <c r="F40" s="931"/>
    </row>
    <row r="41" spans="2:11" ht="18.75" x14ac:dyDescent="0.2">
      <c r="B41" s="58"/>
      <c r="C41" s="59"/>
      <c r="D41" s="59"/>
      <c r="E41" s="59"/>
      <c r="F41" s="932"/>
    </row>
    <row r="42" spans="2:11" ht="18.75" x14ac:dyDescent="0.2">
      <c r="B42" s="58" t="s">
        <v>1320</v>
      </c>
      <c r="C42" s="59">
        <v>358195</v>
      </c>
      <c r="D42" s="59">
        <v>489482</v>
      </c>
      <c r="E42" s="59"/>
      <c r="F42" s="932"/>
    </row>
    <row r="43" spans="2:11" ht="18.75" x14ac:dyDescent="0.2">
      <c r="B43" s="58" t="s">
        <v>1318</v>
      </c>
      <c r="C43" s="923" t="e">
        <f>SUM(C42-C34)</f>
        <v>#REF!</v>
      </c>
      <c r="D43" s="923" t="e">
        <f>SUM(D42-D34)</f>
        <v>#REF!</v>
      </c>
      <c r="E43" s="926">
        <f>SUM(E42-E34)</f>
        <v>-251000</v>
      </c>
      <c r="F43" s="932"/>
    </row>
    <row r="44" spans="2:11" x14ac:dyDescent="0.2">
      <c r="F44" s="932"/>
    </row>
    <row r="45" spans="2:11" x14ac:dyDescent="0.2">
      <c r="F45" s="932"/>
    </row>
    <row r="46" spans="2:11" x14ac:dyDescent="0.2">
      <c r="F46" s="932"/>
    </row>
    <row r="47" spans="2:11" ht="18.75" x14ac:dyDescent="0.2">
      <c r="B47" s="58" t="s">
        <v>113</v>
      </c>
      <c r="C47" s="59" t="e">
        <f>SUM(G16)</f>
        <v>#REF!</v>
      </c>
      <c r="D47" s="59" t="e">
        <f>SUM(H16)</f>
        <v>#REF!</v>
      </c>
      <c r="E47" s="59">
        <f>SUM(I16)</f>
        <v>2943339</v>
      </c>
      <c r="F47" s="933" t="s">
        <v>113</v>
      </c>
      <c r="G47" s="59" t="e">
        <f>SUM(G27)</f>
        <v>#REF!</v>
      </c>
      <c r="H47" s="59" t="e">
        <f t="shared" ref="H47:I47" si="3">SUM(H27)</f>
        <v>#REF!</v>
      </c>
      <c r="I47" s="59">
        <f t="shared" si="3"/>
        <v>2943339</v>
      </c>
    </row>
    <row r="48" spans="2:11" ht="19.5" thickBot="1" x14ac:dyDescent="0.25">
      <c r="B48" s="58" t="s">
        <v>114</v>
      </c>
      <c r="C48" s="59" t="e">
        <f>SUM('1.2.sz.mell  '!G16)</f>
        <v>#REF!</v>
      </c>
      <c r="D48" s="59" t="e">
        <f>SUM('1.2.sz.mell  '!H16)</f>
        <v>#REF!</v>
      </c>
      <c r="E48" s="59">
        <f>SUM('1.2.sz.mell  '!I16)</f>
        <v>259781</v>
      </c>
      <c r="F48" s="933" t="s">
        <v>114</v>
      </c>
      <c r="G48" s="59" t="e">
        <f>SUM('1.2.sz.mell  '!G27)</f>
        <v>#REF!</v>
      </c>
      <c r="H48" s="59" t="e">
        <f>SUM('1.2.sz.mell  '!H27)</f>
        <v>#REF!</v>
      </c>
      <c r="I48" s="59">
        <f>SUM('1.2.sz.mell  '!I27)</f>
        <v>265571</v>
      </c>
    </row>
    <row r="49" spans="2:9" ht="19.5" thickBot="1" x14ac:dyDescent="0.25">
      <c r="B49" s="943" t="s">
        <v>115</v>
      </c>
      <c r="C49" s="941" t="e">
        <f>SUM(C47:C48)</f>
        <v>#REF!</v>
      </c>
      <c r="D49" s="941" t="e">
        <f>SUM(D47:D48)</f>
        <v>#REF!</v>
      </c>
      <c r="E49" s="942">
        <f>SUM(E47:E48)</f>
        <v>3203120</v>
      </c>
      <c r="F49" s="937" t="s">
        <v>115</v>
      </c>
      <c r="G49" s="938" t="e">
        <f>SUM(G47:G48)</f>
        <v>#REF!</v>
      </c>
      <c r="H49" s="938" t="e">
        <f>SUM(H47:H48)</f>
        <v>#REF!</v>
      </c>
      <c r="I49" s="939">
        <f>SUM(I47:I48)</f>
        <v>3208910</v>
      </c>
    </row>
    <row r="50" spans="2:9" ht="18.75" x14ac:dyDescent="0.2">
      <c r="B50" s="58"/>
      <c r="C50" s="123"/>
      <c r="D50" s="123"/>
      <c r="E50" s="123"/>
      <c r="F50" s="934"/>
      <c r="I50" s="61"/>
    </row>
    <row r="51" spans="2:9" ht="18.75" x14ac:dyDescent="0.2">
      <c r="F51" s="933" t="s">
        <v>116</v>
      </c>
      <c r="G51" s="60" t="e">
        <f>SUM(#REF!)</f>
        <v>#REF!</v>
      </c>
      <c r="H51" s="60" t="e">
        <f>SUM(#REF!)</f>
        <v>#REF!</v>
      </c>
      <c r="I51" s="60">
        <f>SUM('2. sz. mell'!F79)</f>
        <v>3208910</v>
      </c>
    </row>
    <row r="52" spans="2:9" ht="18.75" x14ac:dyDescent="0.2">
      <c r="B52" s="925" t="s">
        <v>1317</v>
      </c>
      <c r="F52" s="934"/>
    </row>
    <row r="53" spans="2:9" ht="18.75" x14ac:dyDescent="0.2">
      <c r="B53" s="11"/>
      <c r="F53" s="935" t="s">
        <v>112</v>
      </c>
      <c r="G53" s="926" t="e">
        <f>SUM(G51-G49)</f>
        <v>#REF!</v>
      </c>
      <c r="H53" s="926" t="e">
        <f>SUM(H51-H49)</f>
        <v>#REF!</v>
      </c>
      <c r="I53" s="944">
        <f>SUM(I51-I49)</f>
        <v>0</v>
      </c>
    </row>
    <row r="54" spans="2:9" ht="18.75" x14ac:dyDescent="0.2">
      <c r="B54" s="58" t="s">
        <v>1321</v>
      </c>
      <c r="C54" s="59">
        <v>2901759</v>
      </c>
      <c r="D54" s="59">
        <v>3447041</v>
      </c>
      <c r="E54" s="59"/>
      <c r="F54" s="932"/>
    </row>
    <row r="55" spans="2:9" ht="18.75" x14ac:dyDescent="0.2">
      <c r="B55" s="945" t="s">
        <v>1318</v>
      </c>
      <c r="C55" s="923" t="e">
        <f>SUM(C54-C47)</f>
        <v>#REF!</v>
      </c>
      <c r="D55" s="923" t="e">
        <f>SUM(D54-D47)</f>
        <v>#REF!</v>
      </c>
      <c r="E55" s="926">
        <f>SUM(E54-E47)</f>
        <v>-2943339</v>
      </c>
      <c r="F55" s="932"/>
    </row>
    <row r="56" spans="2:9" ht="18.75" x14ac:dyDescent="0.2">
      <c r="B56" s="58"/>
      <c r="F56" s="932"/>
    </row>
    <row r="57" spans="2:9" ht="18.75" x14ac:dyDescent="0.2">
      <c r="B57" s="58" t="s">
        <v>1322</v>
      </c>
      <c r="C57" s="59">
        <v>307432</v>
      </c>
      <c r="D57" s="59">
        <v>991851</v>
      </c>
      <c r="E57" s="59"/>
      <c r="F57" s="932"/>
      <c r="G57" s="123"/>
      <c r="H57" s="704"/>
      <c r="I57" s="123"/>
    </row>
    <row r="58" spans="2:9" ht="18.75" x14ac:dyDescent="0.2">
      <c r="B58" s="945" t="s">
        <v>1318</v>
      </c>
      <c r="C58" s="923" t="e">
        <f>SUM(C57-C48)</f>
        <v>#REF!</v>
      </c>
      <c r="D58" s="923" t="e">
        <f>SUM(D57-D48)</f>
        <v>#REF!</v>
      </c>
      <c r="E58" s="923">
        <f>SUM(E57-E48)</f>
        <v>-259781</v>
      </c>
      <c r="F58" s="932"/>
      <c r="G58" s="123"/>
      <c r="H58" s="704"/>
      <c r="I58" s="123"/>
    </row>
    <row r="59" spans="2:9" ht="15.75" x14ac:dyDescent="0.2">
      <c r="B59" s="11"/>
      <c r="F59" s="932"/>
      <c r="G59" s="123"/>
      <c r="H59" s="704"/>
      <c r="I59" s="123"/>
    </row>
    <row r="60" spans="2:9" ht="16.5" x14ac:dyDescent="0.2">
      <c r="B60" s="972" t="s">
        <v>1380</v>
      </c>
      <c r="C60" s="973"/>
      <c r="D60" s="973" t="e">
        <f>SUM(D55+D58)</f>
        <v>#REF!</v>
      </c>
      <c r="E60" s="973">
        <f>SUM(E55+E58)</f>
        <v>-3203120</v>
      </c>
      <c r="F60" s="932"/>
      <c r="G60" s="123"/>
      <c r="H60" s="704"/>
      <c r="I60" s="123"/>
    </row>
    <row r="61" spans="2:9" ht="15.75" x14ac:dyDescent="0.2">
      <c r="B61" s="48"/>
      <c r="C61" s="409"/>
      <c r="D61" s="409"/>
      <c r="F61" s="932"/>
      <c r="G61" s="123"/>
      <c r="H61" s="704"/>
      <c r="I61" s="123"/>
    </row>
    <row r="62" spans="2:9" ht="15.75" x14ac:dyDescent="0.2">
      <c r="B62" s="48"/>
      <c r="C62" s="409"/>
      <c r="D62" s="409"/>
      <c r="F62" s="932"/>
      <c r="G62" s="123"/>
      <c r="H62" s="704"/>
      <c r="I62" s="123"/>
    </row>
    <row r="63" spans="2:9" ht="15.75" x14ac:dyDescent="0.2">
      <c r="F63" s="932"/>
      <c r="G63" s="123"/>
      <c r="H63" s="704"/>
      <c r="I63" s="123"/>
    </row>
    <row r="64" spans="2:9" ht="15.75" x14ac:dyDescent="0.2">
      <c r="F64" s="932"/>
      <c r="G64" s="123"/>
      <c r="H64" s="704"/>
      <c r="I64" s="123"/>
    </row>
    <row r="65" spans="2:9" ht="15.75" x14ac:dyDescent="0.2">
      <c r="G65" s="123"/>
      <c r="H65" s="704"/>
      <c r="I65" s="123"/>
    </row>
    <row r="66" spans="2:9" x14ac:dyDescent="0.2">
      <c r="G66" s="123"/>
      <c r="H66" s="123"/>
      <c r="I66" s="123"/>
    </row>
    <row r="67" spans="2:9" x14ac:dyDescent="0.2">
      <c r="G67" s="123"/>
      <c r="H67" s="123"/>
      <c r="I67" s="123"/>
    </row>
    <row r="68" spans="2:9" x14ac:dyDescent="0.2">
      <c r="B68" s="11"/>
      <c r="G68" s="123"/>
      <c r="H68" s="123"/>
      <c r="I68" s="123"/>
    </row>
    <row r="69" spans="2:9" ht="18.75" x14ac:dyDescent="0.2">
      <c r="B69" s="58"/>
      <c r="C69" s="60"/>
      <c r="D69" s="60"/>
      <c r="E69" s="60"/>
    </row>
    <row r="71" spans="2:9" ht="18.75" x14ac:dyDescent="0.2">
      <c r="B71" s="58"/>
      <c r="C71" s="60"/>
      <c r="D71" s="366"/>
      <c r="E71" s="366"/>
    </row>
    <row r="72" spans="2:9" ht="15.75" x14ac:dyDescent="0.2">
      <c r="C72" s="60"/>
      <c r="D72" s="60"/>
      <c r="E72" s="60"/>
    </row>
    <row r="73" spans="2:9" ht="15.75" x14ac:dyDescent="0.2">
      <c r="C73" s="60"/>
      <c r="D73" s="60"/>
      <c r="E73" s="60"/>
    </row>
  </sheetData>
  <sheetProtection selectLockedCells="1" selectUnlockedCells="1"/>
  <mergeCells count="6">
    <mergeCell ref="J1:J28"/>
    <mergeCell ref="G2:I2"/>
    <mergeCell ref="A3:A4"/>
    <mergeCell ref="B3:E3"/>
    <mergeCell ref="A1:I1"/>
    <mergeCell ref="F3:G3"/>
  </mergeCells>
  <printOptions horizontalCentered="1" verticalCentered="1"/>
  <pageMargins left="0.19685039370078741" right="0.19685039370078741" top="0.43307086614173229" bottom="0.51181102362204722" header="0.19685039370078741" footer="0.27559055118110237"/>
  <pageSetup paperSize="9" scale="89" firstPageNumber="42" orientation="landscape" r:id="rId1"/>
  <headerFooter alignWithMargins="0">
    <oddHeader>&amp;R&amp;"Times New Roman,Normál"&amp;12 1.1. sz. melléklet</oddHeader>
    <oddFooter>&amp;C- &amp;P -</oddFooter>
  </headerFooter>
  <rowBreaks count="1" manualBreakCount="1">
    <brk id="2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6640625" style="75" customWidth="1"/>
    <col min="2" max="2" width="9.6640625" style="76" customWidth="1"/>
    <col min="3" max="3" width="66.33203125" style="76" customWidth="1"/>
    <col min="4" max="4" width="16.1640625" style="76" hidden="1" customWidth="1"/>
    <col min="5" max="5" width="15.33203125" style="76" hidden="1" customWidth="1"/>
    <col min="6" max="6" width="18.1640625" style="76" customWidth="1"/>
    <col min="7" max="7" width="10.1640625" style="76" hidden="1" customWidth="1"/>
    <col min="8" max="16384" width="9.33203125" style="76"/>
  </cols>
  <sheetData>
    <row r="1" spans="1:7" s="326" customFormat="1" ht="21" customHeight="1" x14ac:dyDescent="0.2">
      <c r="A1" s="382"/>
      <c r="B1" s="383"/>
      <c r="C1" s="384"/>
      <c r="D1" s="1552" t="s">
        <v>524</v>
      </c>
      <c r="E1" s="1552"/>
      <c r="F1" s="1552"/>
      <c r="G1" s="1552"/>
    </row>
    <row r="2" spans="1:7" s="79" customFormat="1" ht="33" customHeight="1" x14ac:dyDescent="0.2">
      <c r="A2" s="1554" t="s">
        <v>495</v>
      </c>
      <c r="B2" s="1554"/>
      <c r="C2" s="77" t="s">
        <v>496</v>
      </c>
      <c r="D2" s="1523" t="s">
        <v>1024</v>
      </c>
      <c r="E2" s="343"/>
      <c r="F2" s="1523" t="s">
        <v>1420</v>
      </c>
      <c r="G2" s="343"/>
    </row>
    <row r="3" spans="1:7" s="79" customFormat="1" ht="33" customHeight="1" x14ac:dyDescent="0.2">
      <c r="A3" s="1555" t="s">
        <v>122</v>
      </c>
      <c r="B3" s="1555"/>
      <c r="C3" s="80" t="s">
        <v>529</v>
      </c>
      <c r="D3" s="1524"/>
      <c r="E3" s="327"/>
      <c r="F3" s="1524"/>
      <c r="G3" s="327"/>
    </row>
    <row r="4" spans="1:7" s="83" customFormat="1" ht="15.95" customHeight="1" x14ac:dyDescent="0.25">
      <c r="A4" s="81"/>
      <c r="B4" s="81"/>
      <c r="C4" s="81"/>
      <c r="D4" s="1527"/>
      <c r="E4" s="1527"/>
      <c r="F4" s="1527"/>
      <c r="G4" s="82" t="s">
        <v>79</v>
      </c>
    </row>
    <row r="5" spans="1:7" ht="30.7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.9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36">
        <f>SUM(D9:D18)</f>
        <v>0</v>
      </c>
      <c r="E8" s="36">
        <f t="shared" ref="E8:F8" si="0">SUM(E9:E18)</f>
        <v>0</v>
      </c>
      <c r="F8" s="36">
        <f t="shared" si="0"/>
        <v>0</v>
      </c>
      <c r="G8" s="36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/>
      <c r="E18" s="145"/>
      <c r="F18" s="145"/>
      <c r="G18" s="145"/>
    </row>
    <row r="19" spans="1:7" s="96" customFormat="1" ht="32.25" customHeight="1" x14ac:dyDescent="0.2">
      <c r="A19" s="93" t="s">
        <v>3</v>
      </c>
      <c r="B19" s="94"/>
      <c r="C19" s="1142" t="s">
        <v>1482</v>
      </c>
      <c r="D19" s="141">
        <f>SUM(D20:D25)</f>
        <v>10195</v>
      </c>
      <c r="E19" s="141">
        <f t="shared" ref="E19:F19" si="1">SUM(E20:E25)</f>
        <v>11557</v>
      </c>
      <c r="F19" s="141">
        <f t="shared" si="1"/>
        <v>0</v>
      </c>
      <c r="G19" s="141">
        <f>F19/E19*100</f>
        <v>0</v>
      </c>
    </row>
    <row r="20" spans="1:7" s="99" customFormat="1" ht="27.75" customHeight="1" x14ac:dyDescent="0.2">
      <c r="A20" s="97"/>
      <c r="B20" s="98" t="s">
        <v>4</v>
      </c>
      <c r="C20" s="1151" t="s">
        <v>1483</v>
      </c>
      <c r="D20" s="142">
        <v>10195</v>
      </c>
      <c r="E20" s="142">
        <v>11557</v>
      </c>
      <c r="F20" s="142"/>
      <c r="G20" s="142">
        <f>F20/E20*100</f>
        <v>0</v>
      </c>
    </row>
    <row r="21" spans="1:7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</row>
    <row r="22" spans="1:7" s="99" customFormat="1" ht="30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/>
      <c r="E23" s="142"/>
      <c r="F23" s="142"/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/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/>
      <c r="E25" s="142"/>
      <c r="F25" s="142"/>
      <c r="G25" s="142"/>
    </row>
    <row r="26" spans="1:7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customHeight="1" thickBot="1" x14ac:dyDescent="0.25">
      <c r="A28" s="1256" t="s">
        <v>68</v>
      </c>
      <c r="B28" s="94"/>
      <c r="C28" s="1156" t="s">
        <v>1505</v>
      </c>
      <c r="D28" s="119"/>
      <c r="E28" s="119"/>
      <c r="F28" s="119"/>
      <c r="G28" s="119"/>
    </row>
    <row r="29" spans="1:7" s="99" customFormat="1" ht="15" customHeight="1" x14ac:dyDescent="0.2">
      <c r="A29" s="97"/>
      <c r="B29" s="1160" t="s">
        <v>133</v>
      </c>
      <c r="C29" s="1144" t="s">
        <v>1489</v>
      </c>
      <c r="D29" s="1311"/>
      <c r="E29" s="1311"/>
      <c r="F29" s="1311"/>
      <c r="G29" s="1311"/>
    </row>
    <row r="30" spans="1:7" s="99" customFormat="1" ht="15" customHeight="1" x14ac:dyDescent="0.2">
      <c r="A30" s="97"/>
      <c r="B30" s="1160" t="s">
        <v>983</v>
      </c>
      <c r="C30" s="1144" t="s">
        <v>1490</v>
      </c>
      <c r="D30" s="1311"/>
      <c r="E30" s="1311"/>
      <c r="F30" s="1311"/>
      <c r="G30" s="1311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311"/>
      <c r="E31" s="1311"/>
      <c r="F31" s="1311"/>
      <c r="G31" s="1311"/>
    </row>
    <row r="32" spans="1:7" s="99" customFormat="1" ht="30.75" customHeight="1" thickBot="1" x14ac:dyDescent="0.25">
      <c r="A32" s="1256">
        <v>5</v>
      </c>
      <c r="B32" s="1161"/>
      <c r="C32" s="1156" t="s">
        <v>1506</v>
      </c>
      <c r="D32" s="142"/>
      <c r="E32" s="142"/>
      <c r="F32" s="142"/>
      <c r="G32" s="142"/>
    </row>
    <row r="33" spans="1:9" s="96" customFormat="1" ht="30" customHeight="1" thickBot="1" x14ac:dyDescent="0.25">
      <c r="A33" s="1216"/>
      <c r="B33" s="1162" t="s">
        <v>28</v>
      </c>
      <c r="C33" s="1151" t="s">
        <v>1492</v>
      </c>
      <c r="D33" s="142"/>
      <c r="E33" s="142"/>
      <c r="F33" s="142"/>
      <c r="G33" s="142"/>
    </row>
    <row r="34" spans="1:9" s="96" customFormat="1" ht="17.25" customHeight="1" thickBot="1" x14ac:dyDescent="0.3">
      <c r="A34" s="1216" t="s">
        <v>32</v>
      </c>
      <c r="B34" s="117"/>
      <c r="C34" s="1142" t="s">
        <v>1493</v>
      </c>
      <c r="D34" s="1175"/>
      <c r="E34" s="1175"/>
      <c r="F34" s="1175"/>
      <c r="G34" s="1175"/>
    </row>
    <row r="35" spans="1:9" s="96" customFormat="1" ht="30" customHeight="1" thickBot="1" x14ac:dyDescent="0.25">
      <c r="A35" s="1216"/>
      <c r="B35" s="1164" t="s">
        <v>33</v>
      </c>
      <c r="C35" s="1144" t="s">
        <v>1494</v>
      </c>
      <c r="D35" s="1175"/>
      <c r="E35" s="1175"/>
      <c r="F35" s="1175"/>
      <c r="G35" s="1175"/>
    </row>
    <row r="36" spans="1:9" s="96" customFormat="1" ht="15" customHeight="1" thickBot="1" x14ac:dyDescent="0.3">
      <c r="A36" s="1256" t="s">
        <v>74</v>
      </c>
      <c r="B36" s="117"/>
      <c r="C36" s="1156" t="s">
        <v>1495</v>
      </c>
      <c r="D36" s="148">
        <f>+D37+D38</f>
        <v>0</v>
      </c>
      <c r="E36" s="148">
        <f t="shared" ref="E36:F36" si="2">+E37+E38</f>
        <v>2614</v>
      </c>
      <c r="F36" s="148">
        <f t="shared" si="2"/>
        <v>0</v>
      </c>
      <c r="G36" s="148"/>
    </row>
    <row r="37" spans="1:9" s="96" customFormat="1" ht="15" customHeight="1" x14ac:dyDescent="0.2">
      <c r="A37" s="1257"/>
      <c r="B37" s="1160" t="s">
        <v>36</v>
      </c>
      <c r="C37" s="1144" t="s">
        <v>1496</v>
      </c>
      <c r="D37" s="142"/>
      <c r="E37" s="142">
        <v>2614</v>
      </c>
      <c r="F37" s="142"/>
      <c r="G37" s="142"/>
    </row>
    <row r="38" spans="1:9" s="96" customFormat="1" ht="15" customHeight="1" thickBot="1" x14ac:dyDescent="0.25">
      <c r="A38" s="1258"/>
      <c r="B38" s="1160" t="s">
        <v>37</v>
      </c>
      <c r="C38" s="1144" t="s">
        <v>1497</v>
      </c>
      <c r="D38" s="142"/>
      <c r="E38" s="142"/>
      <c r="F38" s="142"/>
      <c r="G38" s="142"/>
    </row>
    <row r="39" spans="1:9" s="99" customFormat="1" ht="15" customHeight="1" thickBot="1" x14ac:dyDescent="0.25">
      <c r="A39" s="116"/>
      <c r="B39" s="1160" t="s">
        <v>1499</v>
      </c>
      <c r="C39" s="1144" t="s">
        <v>1498</v>
      </c>
      <c r="D39" s="142">
        <v>153915</v>
      </c>
      <c r="E39" s="142">
        <v>133461</v>
      </c>
      <c r="F39" s="142">
        <v>133682</v>
      </c>
      <c r="G39" s="142">
        <f>F39/E39*100</f>
        <v>100.16559144619028</v>
      </c>
      <c r="I39" s="110"/>
    </row>
    <row r="40" spans="1:9" s="99" customFormat="1" ht="15" customHeight="1" thickBot="1" x14ac:dyDescent="0.3">
      <c r="A40" s="116"/>
      <c r="B40" s="117"/>
      <c r="C40" s="2" t="s">
        <v>509</v>
      </c>
      <c r="D40" s="119"/>
      <c r="E40" s="119"/>
      <c r="F40" s="119"/>
      <c r="G40" s="119"/>
    </row>
    <row r="41" spans="1:9" s="99" customFormat="1" ht="15" customHeight="1" x14ac:dyDescent="0.2">
      <c r="A41" s="150" t="s">
        <v>38</v>
      </c>
      <c r="B41" s="151"/>
      <c r="C41" s="354" t="s">
        <v>510</v>
      </c>
      <c r="D41" s="152">
        <f>SUM(D8,D19,D28,D32,D33,D36,D39)</f>
        <v>164110</v>
      </c>
      <c r="E41" s="152">
        <f t="shared" ref="E41:F41" si="3">SUM(E8,E19,E28,E32,E33,E36,E39)</f>
        <v>147632</v>
      </c>
      <c r="F41" s="152">
        <f t="shared" si="3"/>
        <v>133682</v>
      </c>
      <c r="G41" s="152">
        <f>F41/E41*100</f>
        <v>90.550829088544489</v>
      </c>
    </row>
    <row r="42" spans="1:9" ht="15" customHeight="1" x14ac:dyDescent="0.2">
      <c r="A42" s="131"/>
      <c r="B42" s="132"/>
      <c r="C42" s="132"/>
      <c r="D42" s="132"/>
      <c r="E42" s="132"/>
      <c r="F42" s="132"/>
      <c r="G42" s="132"/>
    </row>
    <row r="43" spans="1:9" s="89" customFormat="1" ht="15" customHeight="1" x14ac:dyDescent="0.2">
      <c r="A43" s="150"/>
      <c r="B43" s="151"/>
      <c r="C43" s="387" t="s">
        <v>82</v>
      </c>
      <c r="D43" s="152"/>
      <c r="E43" s="152"/>
      <c r="F43" s="152"/>
      <c r="G43" s="152"/>
    </row>
    <row r="44" spans="1:9" s="125" customFormat="1" ht="15" customHeight="1" x14ac:dyDescent="0.2">
      <c r="A44" s="93" t="s">
        <v>2</v>
      </c>
      <c r="B44" s="2"/>
      <c r="C44" s="10" t="s">
        <v>49</v>
      </c>
      <c r="D44" s="141">
        <f>SUM(D45:D49)</f>
        <v>139610</v>
      </c>
      <c r="E44" s="141">
        <f t="shared" ref="E44:F44" si="4">SUM(E45:E49)</f>
        <v>147632</v>
      </c>
      <c r="F44" s="141">
        <f t="shared" si="4"/>
        <v>133682</v>
      </c>
      <c r="G44" s="141">
        <f>F44/E44*100</f>
        <v>90.550829088544489</v>
      </c>
    </row>
    <row r="45" spans="1:9" ht="15" customHeight="1" x14ac:dyDescent="0.2">
      <c r="A45" s="113"/>
      <c r="B45" s="124" t="s">
        <v>50</v>
      </c>
      <c r="C45" s="7" t="s">
        <v>51</v>
      </c>
      <c r="D45" s="147">
        <v>83460</v>
      </c>
      <c r="E45" s="147">
        <v>89283</v>
      </c>
      <c r="F45" s="147">
        <v>83739</v>
      </c>
      <c r="G45" s="147">
        <f>F45/E45*100</f>
        <v>93.790531232149448</v>
      </c>
    </row>
    <row r="46" spans="1:9" ht="15" customHeight="1" x14ac:dyDescent="0.2">
      <c r="A46" s="97"/>
      <c r="B46" s="109" t="s">
        <v>52</v>
      </c>
      <c r="C46" s="3" t="s">
        <v>53</v>
      </c>
      <c r="D46" s="142">
        <v>22064</v>
      </c>
      <c r="E46" s="142">
        <v>23190</v>
      </c>
      <c r="F46" s="142">
        <v>23127</v>
      </c>
      <c r="G46" s="142">
        <f>F46/E46*100</f>
        <v>99.728331177231567</v>
      </c>
    </row>
    <row r="47" spans="1:9" ht="15" customHeight="1" x14ac:dyDescent="0.2">
      <c r="A47" s="97"/>
      <c r="B47" s="109" t="s">
        <v>54</v>
      </c>
      <c r="C47" s="3" t="s">
        <v>55</v>
      </c>
      <c r="D47" s="142">
        <v>34086</v>
      </c>
      <c r="E47" s="142">
        <v>35159</v>
      </c>
      <c r="F47" s="142">
        <v>26816</v>
      </c>
      <c r="G47" s="142">
        <f>F47/E47*100</f>
        <v>76.270656162006873</v>
      </c>
    </row>
    <row r="48" spans="1:9" ht="15" customHeight="1" x14ac:dyDescent="0.2">
      <c r="A48" s="97"/>
      <c r="B48" s="109" t="s">
        <v>56</v>
      </c>
      <c r="C48" s="3" t="s">
        <v>57</v>
      </c>
      <c r="D48" s="142"/>
      <c r="E48" s="142"/>
      <c r="F48" s="142"/>
      <c r="G48" s="142"/>
    </row>
    <row r="49" spans="1:7" ht="15" customHeight="1" x14ac:dyDescent="0.2">
      <c r="A49" s="97"/>
      <c r="B49" s="109" t="s">
        <v>58</v>
      </c>
      <c r="C49" s="3" t="s">
        <v>59</v>
      </c>
      <c r="D49" s="142"/>
      <c r="E49" s="142"/>
      <c r="F49" s="142"/>
      <c r="G49" s="142"/>
    </row>
    <row r="50" spans="1:7" ht="15" customHeight="1" x14ac:dyDescent="0.2">
      <c r="A50" s="93" t="s">
        <v>3</v>
      </c>
      <c r="B50" s="2"/>
      <c r="C50" s="10" t="s">
        <v>1513</v>
      </c>
      <c r="D50" s="141">
        <f>SUM(D51:D54)</f>
        <v>24500</v>
      </c>
      <c r="E50" s="141">
        <f t="shared" ref="E50:F50" si="5">SUM(E51:E54)</f>
        <v>0</v>
      </c>
      <c r="F50" s="141">
        <f t="shared" si="5"/>
        <v>0</v>
      </c>
      <c r="G50" s="141"/>
    </row>
    <row r="51" spans="1:7" s="125" customFormat="1" ht="15" customHeight="1" x14ac:dyDescent="0.2">
      <c r="A51" s="113"/>
      <c r="B51" s="1165" t="s">
        <v>4</v>
      </c>
      <c r="C51" s="1151" t="s">
        <v>1173</v>
      </c>
      <c r="D51" s="147">
        <v>24500</v>
      </c>
      <c r="E51" s="147">
        <v>0</v>
      </c>
      <c r="F51" s="147">
        <v>0</v>
      </c>
      <c r="G51" s="147"/>
    </row>
    <row r="52" spans="1:7" ht="15" customHeight="1" x14ac:dyDescent="0.2">
      <c r="A52" s="97"/>
      <c r="B52" s="1166" t="s">
        <v>6</v>
      </c>
      <c r="C52" s="1144" t="s">
        <v>64</v>
      </c>
      <c r="D52" s="142"/>
      <c r="E52" s="142"/>
      <c r="F52" s="142"/>
      <c r="G52" s="142"/>
    </row>
    <row r="53" spans="1:7" ht="30" customHeight="1" thickBot="1" x14ac:dyDescent="0.25">
      <c r="A53" s="97"/>
      <c r="B53" s="1166" t="s">
        <v>7</v>
      </c>
      <c r="C53" s="1144" t="s">
        <v>1500</v>
      </c>
      <c r="D53" s="142"/>
      <c r="E53" s="142"/>
      <c r="F53" s="142"/>
      <c r="G53" s="142"/>
    </row>
    <row r="54" spans="1:7" ht="15" hidden="1" customHeight="1" x14ac:dyDescent="0.2">
      <c r="A54" s="97"/>
      <c r="B54" s="109"/>
      <c r="C54" s="3"/>
      <c r="D54" s="142"/>
      <c r="E54" s="142"/>
      <c r="F54" s="142"/>
      <c r="G54" s="142"/>
    </row>
    <row r="55" spans="1:7" ht="15" customHeight="1" thickBot="1" x14ac:dyDescent="0.25">
      <c r="A55" s="93" t="s">
        <v>12</v>
      </c>
      <c r="B55" s="2"/>
      <c r="C55" s="10" t="s">
        <v>514</v>
      </c>
      <c r="D55" s="119"/>
      <c r="E55" s="119"/>
      <c r="F55" s="119"/>
      <c r="G55" s="119"/>
    </row>
    <row r="56" spans="1:7" s="99" customFormat="1" ht="15" hidden="1" customHeight="1" x14ac:dyDescent="0.2">
      <c r="A56" s="93"/>
      <c r="B56" s="2"/>
      <c r="C56" s="10"/>
      <c r="D56" s="119"/>
      <c r="E56" s="119"/>
      <c r="F56" s="119"/>
      <c r="G56" s="119"/>
    </row>
    <row r="57" spans="1:7" ht="15" customHeight="1" thickBot="1" x14ac:dyDescent="0.25">
      <c r="A57" s="150" t="s">
        <v>68</v>
      </c>
      <c r="B57" s="151"/>
      <c r="C57" s="354" t="s">
        <v>516</v>
      </c>
      <c r="D57" s="152">
        <f>+D44+D50+D55</f>
        <v>164110</v>
      </c>
      <c r="E57" s="152">
        <f t="shared" ref="E57:F57" si="6">+E44+E50+E55</f>
        <v>147632</v>
      </c>
      <c r="F57" s="152">
        <f t="shared" si="6"/>
        <v>133682</v>
      </c>
      <c r="G57" s="152">
        <f>F57/E57*100</f>
        <v>90.550829088544489</v>
      </c>
    </row>
    <row r="58" spans="1:7" ht="15" customHeight="1" thickBot="1" x14ac:dyDescent="0.25">
      <c r="A58" s="131"/>
      <c r="B58" s="132"/>
      <c r="C58" s="132"/>
      <c r="D58" s="132"/>
      <c r="E58" s="132"/>
      <c r="F58" s="132"/>
      <c r="G58" s="132"/>
    </row>
    <row r="59" spans="1:7" ht="15" customHeight="1" x14ac:dyDescent="0.2">
      <c r="A59" s="133" t="s">
        <v>136</v>
      </c>
      <c r="B59" s="134"/>
      <c r="C59" s="135"/>
      <c r="D59" s="136">
        <v>21.5</v>
      </c>
      <c r="E59" s="136">
        <v>21.5</v>
      </c>
      <c r="F59" s="136">
        <v>21.5</v>
      </c>
      <c r="G59" s="136"/>
    </row>
    <row r="60" spans="1:7" ht="15" customHeight="1" x14ac:dyDescent="0.2">
      <c r="A60" s="133" t="s">
        <v>137</v>
      </c>
      <c r="B60" s="134"/>
      <c r="C60" s="135"/>
      <c r="D60" s="356"/>
      <c r="E60" s="356"/>
      <c r="F60" s="356"/>
      <c r="G60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43307086614173229" right="0.31496062992125984" top="0.31496062992125984" bottom="0.43307086614173229" header="0.51181102362204722" footer="0.15748031496062992"/>
  <pageSetup paperSize="9" scale="76" firstPageNumber="66" orientation="portrait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7" style="76" customWidth="1"/>
    <col min="4" max="4" width="15" style="76" hidden="1" customWidth="1"/>
    <col min="5" max="5" width="13.5" style="76" hidden="1" customWidth="1"/>
    <col min="6" max="6" width="19" style="76" customWidth="1"/>
    <col min="7" max="7" width="10.33203125" style="76" hidden="1" customWidth="1"/>
    <col min="8" max="16384" width="9.33203125" style="76"/>
  </cols>
  <sheetData>
    <row r="1" spans="1:7" s="326" customFormat="1" ht="21" customHeight="1" thickBot="1" x14ac:dyDescent="0.25">
      <c r="A1" s="323"/>
      <c r="B1" s="324"/>
      <c r="C1" s="325"/>
      <c r="D1" s="1552" t="s">
        <v>1467</v>
      </c>
      <c r="E1" s="1552"/>
      <c r="F1" s="1552"/>
      <c r="G1" s="1552"/>
    </row>
    <row r="2" spans="1:7" s="79" customFormat="1" ht="30" customHeight="1" x14ac:dyDescent="0.2">
      <c r="A2" s="1554" t="s">
        <v>495</v>
      </c>
      <c r="B2" s="1554"/>
      <c r="C2" s="77" t="s">
        <v>496</v>
      </c>
      <c r="D2" s="1560" t="s">
        <v>1024</v>
      </c>
      <c r="E2" s="343"/>
      <c r="F2" s="1523" t="s">
        <v>1420</v>
      </c>
      <c r="G2" s="343"/>
    </row>
    <row r="3" spans="1:7" s="79" customFormat="1" ht="33.75" customHeight="1" thickBot="1" x14ac:dyDescent="0.25">
      <c r="A3" s="1555" t="s">
        <v>122</v>
      </c>
      <c r="B3" s="1555"/>
      <c r="C3" s="80" t="s">
        <v>531</v>
      </c>
      <c r="D3" s="1524"/>
      <c r="E3" s="327"/>
      <c r="F3" s="1524"/>
      <c r="G3" s="327"/>
    </row>
    <row r="4" spans="1:7" s="83" customFormat="1" ht="15.95" customHeight="1" thickBot="1" x14ac:dyDescent="0.3">
      <c r="A4" s="81"/>
      <c r="B4" s="81"/>
      <c r="C4" s="81"/>
      <c r="D4" s="1527"/>
      <c r="E4" s="1527"/>
      <c r="F4" s="1527"/>
      <c r="G4" s="82" t="s">
        <v>79</v>
      </c>
    </row>
    <row r="5" spans="1:7" ht="31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5" customHeight="1" thickBot="1" x14ac:dyDescent="0.25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/>
      <c r="E18" s="145"/>
      <c r="F18" s="145"/>
      <c r="G18" s="145"/>
    </row>
    <row r="19" spans="1:7" s="96" customFormat="1" ht="27.75" customHeight="1" thickBot="1" x14ac:dyDescent="0.25">
      <c r="A19" s="93" t="s">
        <v>3</v>
      </c>
      <c r="B19" s="94"/>
      <c r="C19" s="1142" t="s">
        <v>1482</v>
      </c>
      <c r="D19" s="141">
        <f>SUM(D20:D25)</f>
        <v>3675</v>
      </c>
      <c r="E19" s="141">
        <f t="shared" ref="E19:F19" si="1">SUM(E20:E25)</f>
        <v>4378</v>
      </c>
      <c r="F19" s="141">
        <f t="shared" si="1"/>
        <v>0</v>
      </c>
      <c r="G19" s="141">
        <f>F19/E19*100</f>
        <v>0</v>
      </c>
    </row>
    <row r="20" spans="1:7" s="99" customFormat="1" ht="27.75" customHeight="1" x14ac:dyDescent="0.2">
      <c r="A20" s="97"/>
      <c r="B20" s="98" t="s">
        <v>4</v>
      </c>
      <c r="C20" s="1151" t="s">
        <v>1483</v>
      </c>
      <c r="D20" s="142">
        <v>3675</v>
      </c>
      <c r="E20" s="142">
        <v>4378</v>
      </c>
      <c r="F20" s="142"/>
      <c r="G20" s="142">
        <f>F20/E20*100</f>
        <v>0</v>
      </c>
    </row>
    <row r="21" spans="1:7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</row>
    <row r="22" spans="1:7" s="99" customFormat="1" ht="32.25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/>
      <c r="E23" s="142"/>
      <c r="F23" s="142"/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/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/>
      <c r="E25" s="142"/>
      <c r="F25" s="142"/>
      <c r="G25" s="142"/>
    </row>
    <row r="26" spans="1:7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customHeight="1" thickBot="1" x14ac:dyDescent="0.25">
      <c r="A28" s="1256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97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97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19">
        <v>0</v>
      </c>
      <c r="E31" s="119">
        <v>0</v>
      </c>
      <c r="F31" s="119">
        <v>0</v>
      </c>
      <c r="G31" s="119"/>
    </row>
    <row r="32" spans="1:7" s="96" customFormat="1" ht="29.25" customHeight="1" thickBot="1" x14ac:dyDescent="0.25">
      <c r="A32" s="1256">
        <v>5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30.75" customHeight="1" thickBot="1" x14ac:dyDescent="0.25">
      <c r="A33" s="1216"/>
      <c r="B33" s="1162" t="s">
        <v>28</v>
      </c>
      <c r="C33" s="1151" t="s">
        <v>1492</v>
      </c>
      <c r="D33" s="1224"/>
      <c r="E33" s="1224"/>
      <c r="F33" s="1224"/>
      <c r="G33" s="1224"/>
    </row>
    <row r="34" spans="1:9" s="96" customFormat="1" ht="20.25" customHeight="1" thickBot="1" x14ac:dyDescent="0.3">
      <c r="A34" s="1216" t="s">
        <v>32</v>
      </c>
      <c r="B34" s="117"/>
      <c r="C34" s="1142" t="s">
        <v>1493</v>
      </c>
      <c r="D34" s="1224"/>
      <c r="E34" s="1224"/>
      <c r="F34" s="1224"/>
      <c r="G34" s="1224"/>
    </row>
    <row r="35" spans="1:9" s="96" customFormat="1" ht="30.75" customHeight="1" thickBot="1" x14ac:dyDescent="0.25">
      <c r="A35" s="1216"/>
      <c r="B35" s="1164" t="s">
        <v>33</v>
      </c>
      <c r="C35" s="1144" t="s">
        <v>1494</v>
      </c>
      <c r="D35" s="1224"/>
      <c r="E35" s="1224"/>
      <c r="F35" s="1224"/>
      <c r="G35" s="1224"/>
    </row>
    <row r="36" spans="1:9" s="96" customFormat="1" ht="15" customHeight="1" thickBot="1" x14ac:dyDescent="0.3">
      <c r="A36" s="1256" t="s">
        <v>74</v>
      </c>
      <c r="B36" s="117"/>
      <c r="C36" s="1156" t="s">
        <v>1495</v>
      </c>
      <c r="D36" s="141">
        <f>+D37+D38</f>
        <v>0</v>
      </c>
      <c r="E36" s="141">
        <f t="shared" ref="E36:F36" si="2">+E37+E38</f>
        <v>0</v>
      </c>
      <c r="F36" s="141">
        <f t="shared" si="2"/>
        <v>0</v>
      </c>
      <c r="G36" s="141"/>
    </row>
    <row r="37" spans="1:9" s="96" customFormat="1" ht="15" customHeight="1" x14ac:dyDescent="0.2">
      <c r="A37" s="1257"/>
      <c r="B37" s="1160" t="s">
        <v>36</v>
      </c>
      <c r="C37" s="1144" t="s">
        <v>1496</v>
      </c>
      <c r="D37" s="142"/>
      <c r="E37" s="142"/>
      <c r="F37" s="142"/>
      <c r="G37" s="142"/>
    </row>
    <row r="38" spans="1:9" s="96" customFormat="1" ht="15" customHeight="1" thickBot="1" x14ac:dyDescent="0.25">
      <c r="A38" s="1258"/>
      <c r="B38" s="1160" t="s">
        <v>37</v>
      </c>
      <c r="C38" s="1144" t="s">
        <v>1497</v>
      </c>
      <c r="D38" s="145"/>
      <c r="E38" s="145"/>
      <c r="F38" s="145"/>
      <c r="G38" s="145"/>
    </row>
    <row r="39" spans="1:9" s="99" customFormat="1" ht="15" customHeight="1" thickBot="1" x14ac:dyDescent="0.25">
      <c r="A39" s="116"/>
      <c r="B39" s="1160" t="s">
        <v>1499</v>
      </c>
      <c r="C39" s="1144" t="s">
        <v>1498</v>
      </c>
      <c r="D39" s="332">
        <v>39074</v>
      </c>
      <c r="E39" s="332">
        <v>56825</v>
      </c>
      <c r="F39" s="332">
        <v>58640</v>
      </c>
      <c r="G39" s="332">
        <f>F39/E39*100</f>
        <v>103.19401671799385</v>
      </c>
      <c r="I39" s="110"/>
    </row>
    <row r="40" spans="1:9" s="99" customFormat="1" ht="15" hidden="1" customHeight="1" thickBot="1" x14ac:dyDescent="0.3">
      <c r="A40" s="116"/>
      <c r="B40" s="117"/>
      <c r="C40" s="2"/>
      <c r="D40" s="119"/>
      <c r="E40" s="119"/>
      <c r="F40" s="119"/>
      <c r="G40" s="119"/>
    </row>
    <row r="41" spans="1:9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SUM(D8,D19,D28,D31,D32,D36,D39)</f>
        <v>42749</v>
      </c>
      <c r="E41" s="152">
        <f t="shared" ref="E41:F41" si="3">SUM(E8,E19,E28,E31,E32,E36,E39)</f>
        <v>61203</v>
      </c>
      <c r="F41" s="152">
        <f t="shared" si="3"/>
        <v>58640</v>
      </c>
      <c r="G41" s="152">
        <f>F41/E41*100</f>
        <v>95.81229678283745</v>
      </c>
    </row>
    <row r="42" spans="1:9" s="99" customFormat="1" ht="15" customHeight="1" x14ac:dyDescent="0.2">
      <c r="A42" s="336"/>
      <c r="B42" s="336"/>
      <c r="C42" s="355"/>
      <c r="D42" s="388"/>
      <c r="E42" s="388"/>
      <c r="F42" s="388"/>
      <c r="G42" s="388"/>
    </row>
    <row r="43" spans="1:9" ht="15" customHeight="1" thickBot="1" x14ac:dyDescent="0.25">
      <c r="A43" s="131"/>
      <c r="B43" s="132"/>
      <c r="C43" s="132"/>
      <c r="D43" s="390"/>
      <c r="E43" s="390"/>
      <c r="F43" s="390"/>
      <c r="G43" s="390"/>
    </row>
    <row r="44" spans="1:9" s="89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125" customFormat="1" ht="15" customHeight="1" thickBot="1" x14ac:dyDescent="0.25">
      <c r="A45" s="93" t="s">
        <v>2</v>
      </c>
      <c r="B45" s="2"/>
      <c r="C45" s="10" t="s">
        <v>49</v>
      </c>
      <c r="D45" s="141">
        <f>SUM(D46:D50)</f>
        <v>42749</v>
      </c>
      <c r="E45" s="141">
        <f t="shared" ref="E45:F45" si="4">SUM(E46:E50)</f>
        <v>61203</v>
      </c>
      <c r="F45" s="141">
        <f t="shared" si="4"/>
        <v>58640</v>
      </c>
      <c r="G45" s="141">
        <f>F45/E45*100</f>
        <v>95.81229678283745</v>
      </c>
    </row>
    <row r="46" spans="1:9" ht="15" customHeight="1" x14ac:dyDescent="0.2">
      <c r="A46" s="113"/>
      <c r="B46" s="124" t="s">
        <v>50</v>
      </c>
      <c r="C46" s="7" t="s">
        <v>51</v>
      </c>
      <c r="D46" s="147">
        <v>26956</v>
      </c>
      <c r="E46" s="147">
        <v>41259</v>
      </c>
      <c r="F46" s="147">
        <v>35295</v>
      </c>
      <c r="G46" s="147">
        <f>F46/E46*100</f>
        <v>85.544972006107756</v>
      </c>
    </row>
    <row r="47" spans="1:9" ht="15" customHeight="1" x14ac:dyDescent="0.2">
      <c r="A47" s="97"/>
      <c r="B47" s="109" t="s">
        <v>52</v>
      </c>
      <c r="C47" s="3" t="s">
        <v>53</v>
      </c>
      <c r="D47" s="142">
        <v>7138</v>
      </c>
      <c r="E47" s="142">
        <v>11000</v>
      </c>
      <c r="F47" s="142">
        <v>9769</v>
      </c>
      <c r="G47" s="142">
        <f>F47/E47*100</f>
        <v>88.809090909090898</v>
      </c>
    </row>
    <row r="48" spans="1:9" ht="15" customHeight="1" x14ac:dyDescent="0.2">
      <c r="A48" s="97"/>
      <c r="B48" s="109" t="s">
        <v>54</v>
      </c>
      <c r="C48" s="3" t="s">
        <v>55</v>
      </c>
      <c r="D48" s="142">
        <v>8655</v>
      </c>
      <c r="E48" s="142">
        <v>8944</v>
      </c>
      <c r="F48" s="142">
        <v>13576</v>
      </c>
      <c r="G48" s="142">
        <f>F48/E48*100</f>
        <v>151.78890876565293</v>
      </c>
    </row>
    <row r="49" spans="1:7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</row>
    <row r="50" spans="1:7" ht="15" customHeight="1" thickBot="1" x14ac:dyDescent="0.25">
      <c r="A50" s="97"/>
      <c r="B50" s="109" t="s">
        <v>58</v>
      </c>
      <c r="C50" s="3" t="s">
        <v>59</v>
      </c>
      <c r="D50" s="142"/>
      <c r="E50" s="142"/>
      <c r="F50" s="142"/>
      <c r="G50" s="142"/>
    </row>
    <row r="51" spans="1:7" ht="15" customHeight="1" thickBot="1" x14ac:dyDescent="0.25">
      <c r="A51" s="93" t="s">
        <v>3</v>
      </c>
      <c r="B51" s="2"/>
      <c r="C51" s="10" t="s">
        <v>1513</v>
      </c>
      <c r="D51" s="141">
        <f>SUM(D52:D55)</f>
        <v>0</v>
      </c>
      <c r="E51" s="141">
        <f t="shared" ref="E51:F51" si="5">SUM(E52:E55)</f>
        <v>0</v>
      </c>
      <c r="F51" s="141">
        <f t="shared" si="5"/>
        <v>0</v>
      </c>
      <c r="G51" s="141"/>
    </row>
    <row r="52" spans="1:7" s="125" customFormat="1" ht="15" customHeight="1" x14ac:dyDescent="0.2">
      <c r="A52" s="113"/>
      <c r="B52" s="1165" t="s">
        <v>4</v>
      </c>
      <c r="C52" s="1151" t="s">
        <v>1173</v>
      </c>
      <c r="D52" s="147"/>
      <c r="E52" s="147"/>
      <c r="F52" s="147"/>
      <c r="G52" s="147"/>
    </row>
    <row r="53" spans="1:7" ht="15" customHeight="1" x14ac:dyDescent="0.2">
      <c r="A53" s="97"/>
      <c r="B53" s="1166" t="s">
        <v>6</v>
      </c>
      <c r="C53" s="1144" t="s">
        <v>64</v>
      </c>
      <c r="D53" s="142"/>
      <c r="E53" s="142"/>
      <c r="F53" s="142"/>
      <c r="G53" s="142"/>
    </row>
    <row r="54" spans="1:7" ht="15" customHeight="1" thickBot="1" x14ac:dyDescent="0.25">
      <c r="A54" s="97"/>
      <c r="B54" s="1166" t="s">
        <v>7</v>
      </c>
      <c r="C54" s="1144" t="s">
        <v>1500</v>
      </c>
      <c r="D54" s="142"/>
      <c r="E54" s="142"/>
      <c r="F54" s="142"/>
      <c r="G54" s="142"/>
    </row>
    <row r="55" spans="1:7" ht="15" hidden="1" customHeight="1" thickBot="1" x14ac:dyDescent="0.25">
      <c r="A55" s="97"/>
      <c r="B55" s="109"/>
      <c r="C55" s="3"/>
      <c r="D55" s="142"/>
      <c r="E55" s="142"/>
      <c r="F55" s="142"/>
      <c r="G55" s="142"/>
    </row>
    <row r="56" spans="1:7" ht="15" customHeight="1" thickBot="1" x14ac:dyDescent="0.25">
      <c r="A56" s="93" t="s">
        <v>12</v>
      </c>
      <c r="B56" s="2"/>
      <c r="C56" s="10" t="s">
        <v>514</v>
      </c>
      <c r="D56" s="119"/>
      <c r="E56" s="119"/>
      <c r="F56" s="119"/>
      <c r="G56" s="119"/>
    </row>
    <row r="57" spans="1:7" s="99" customFormat="1" ht="15" hidden="1" customHeight="1" thickBot="1" x14ac:dyDescent="0.25">
      <c r="A57" s="93"/>
      <c r="B57" s="2"/>
      <c r="C57" s="10"/>
      <c r="D57" s="119"/>
      <c r="E57" s="119"/>
      <c r="F57" s="119"/>
      <c r="G57" s="119"/>
    </row>
    <row r="58" spans="1:7" ht="15" customHeight="1" thickBot="1" x14ac:dyDescent="0.25">
      <c r="A58" s="150" t="s">
        <v>68</v>
      </c>
      <c r="B58" s="151"/>
      <c r="C58" s="354" t="s">
        <v>516</v>
      </c>
      <c r="D58" s="152">
        <f>+D45+D51+D56</f>
        <v>42749</v>
      </c>
      <c r="E58" s="152">
        <f t="shared" ref="E58:F58" si="6">+E45+E51+E56</f>
        <v>61203</v>
      </c>
      <c r="F58" s="152">
        <f t="shared" si="6"/>
        <v>58640</v>
      </c>
      <c r="G58" s="152">
        <f>F58/E58*100</f>
        <v>95.81229678283745</v>
      </c>
    </row>
    <row r="59" spans="1:7" ht="15" customHeight="1" thickBot="1" x14ac:dyDescent="0.25">
      <c r="A59" s="131"/>
      <c r="B59" s="132"/>
      <c r="C59" s="132"/>
      <c r="D59" s="132"/>
      <c r="E59" s="132"/>
      <c r="F59" s="132"/>
      <c r="G59" s="132"/>
    </row>
    <row r="60" spans="1:7" ht="15" customHeight="1" thickBot="1" x14ac:dyDescent="0.25">
      <c r="A60" s="133" t="s">
        <v>136</v>
      </c>
      <c r="B60" s="134"/>
      <c r="C60" s="135"/>
      <c r="D60" s="136">
        <v>7.75</v>
      </c>
      <c r="E60" s="136">
        <v>7.75</v>
      </c>
      <c r="F60" s="136">
        <v>7.75</v>
      </c>
      <c r="G60" s="136"/>
    </row>
    <row r="61" spans="1:7" ht="15" customHeight="1" thickBot="1" x14ac:dyDescent="0.25">
      <c r="A61" s="133" t="s">
        <v>137</v>
      </c>
      <c r="B61" s="134"/>
      <c r="C61" s="135"/>
      <c r="D61" s="136"/>
      <c r="E61" s="136"/>
      <c r="F61" s="136"/>
      <c r="G61" s="356"/>
    </row>
    <row r="62" spans="1:7" ht="15" customHeight="1" x14ac:dyDescent="0.2"/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5433070866141736" right="0.31496062992125984" top="0.51181102362204722" bottom="0.39370078740157483" header="0.51181102362204722" footer="0.19685039370078741"/>
  <pageSetup paperSize="9" scale="66" firstPageNumber="67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4" style="76" customWidth="1"/>
    <col min="4" max="4" width="16.5" style="76" hidden="1" customWidth="1"/>
    <col min="5" max="5" width="15.33203125" style="76" hidden="1" customWidth="1"/>
    <col min="6" max="6" width="17.83203125" style="76" customWidth="1"/>
    <col min="7" max="7" width="12.6640625" style="76" hidden="1" customWidth="1"/>
    <col min="8" max="16384" width="9.33203125" style="76"/>
  </cols>
  <sheetData>
    <row r="1" spans="1:7" s="326" customFormat="1" ht="21" customHeight="1" x14ac:dyDescent="0.2">
      <c r="A1" s="323"/>
      <c r="B1" s="324"/>
      <c r="C1" s="325"/>
      <c r="D1" s="1552" t="s">
        <v>528</v>
      </c>
      <c r="E1" s="1552"/>
      <c r="F1" s="1552"/>
      <c r="G1" s="1552"/>
    </row>
    <row r="2" spans="1:7" s="79" customFormat="1" ht="30" customHeight="1" x14ac:dyDescent="0.2">
      <c r="A2" s="1554" t="s">
        <v>495</v>
      </c>
      <c r="B2" s="1554"/>
      <c r="C2" s="77" t="s">
        <v>496</v>
      </c>
      <c r="D2" s="1523" t="s">
        <v>1024</v>
      </c>
      <c r="E2" s="343"/>
      <c r="F2" s="1523" t="s">
        <v>1420</v>
      </c>
      <c r="G2" s="343"/>
    </row>
    <row r="3" spans="1:7" s="79" customFormat="1" ht="30" customHeight="1" x14ac:dyDescent="0.2">
      <c r="A3" s="1555" t="s">
        <v>122</v>
      </c>
      <c r="B3" s="1555"/>
      <c r="C3" s="80" t="s">
        <v>532</v>
      </c>
      <c r="D3" s="1524"/>
      <c r="E3" s="327"/>
      <c r="F3" s="1524"/>
      <c r="G3" s="327"/>
    </row>
    <row r="4" spans="1:7" s="83" customFormat="1" ht="15.95" customHeight="1" x14ac:dyDescent="0.25">
      <c r="A4" s="81"/>
      <c r="B4" s="81"/>
      <c r="C4" s="81"/>
      <c r="D4" s="1527"/>
      <c r="E4" s="1527"/>
      <c r="F4" s="1527"/>
      <c r="G4" s="82" t="s">
        <v>79</v>
      </c>
    </row>
    <row r="5" spans="1:7" ht="32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/>
      <c r="E18" s="145"/>
      <c r="F18" s="145"/>
      <c r="G18" s="145"/>
    </row>
    <row r="19" spans="1:7" s="96" customFormat="1" ht="29.25" customHeight="1" x14ac:dyDescent="0.2">
      <c r="A19" s="93" t="s">
        <v>3</v>
      </c>
      <c r="B19" s="94"/>
      <c r="C19" s="1142" t="s">
        <v>1482</v>
      </c>
      <c r="D19" s="141">
        <f>SUM(D20:D25)</f>
        <v>4268</v>
      </c>
      <c r="E19" s="141">
        <f t="shared" ref="E19:F19" si="1">SUM(E20:E25)</f>
        <v>4740</v>
      </c>
      <c r="F19" s="141">
        <f t="shared" si="1"/>
        <v>0</v>
      </c>
      <c r="G19" s="141">
        <f>F19/E19*100</f>
        <v>0</v>
      </c>
    </row>
    <row r="20" spans="1:7" s="99" customFormat="1" ht="29.25" customHeight="1" x14ac:dyDescent="0.2">
      <c r="A20" s="97"/>
      <c r="B20" s="98" t="s">
        <v>4</v>
      </c>
      <c r="C20" s="1151" t="s">
        <v>1483</v>
      </c>
      <c r="D20" s="142">
        <v>4268</v>
      </c>
      <c r="E20" s="142">
        <v>4740</v>
      </c>
      <c r="F20" s="142"/>
      <c r="G20" s="142">
        <f>F20/E20*100</f>
        <v>0</v>
      </c>
    </row>
    <row r="21" spans="1:7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</row>
    <row r="22" spans="1:7" s="99" customFormat="1" ht="27.75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/>
      <c r="E23" s="142"/>
      <c r="F23" s="142"/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/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/>
      <c r="E25" s="142"/>
      <c r="F25" s="142"/>
      <c r="G25" s="142"/>
    </row>
    <row r="26" spans="1:7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customHeight="1" thickBot="1" x14ac:dyDescent="0.25">
      <c r="A28" s="93" t="s">
        <v>12</v>
      </c>
      <c r="B28" s="2"/>
      <c r="C28" s="2" t="s">
        <v>503</v>
      </c>
      <c r="D28" s="119"/>
      <c r="E28" s="119"/>
      <c r="F28" s="119"/>
      <c r="G28" s="119"/>
    </row>
    <row r="29" spans="1:7" s="99" customFormat="1" ht="15" customHeight="1" thickBot="1" x14ac:dyDescent="0.25">
      <c r="A29" s="1256" t="s">
        <v>68</v>
      </c>
      <c r="B29" s="94"/>
      <c r="C29" s="1156" t="s">
        <v>1505</v>
      </c>
      <c r="D29" s="1311"/>
      <c r="E29" s="1311"/>
      <c r="F29" s="1311"/>
      <c r="G29" s="1311"/>
    </row>
    <row r="30" spans="1:7" s="99" customFormat="1" ht="15" customHeight="1" x14ac:dyDescent="0.2">
      <c r="A30" s="97"/>
      <c r="B30" s="1160" t="s">
        <v>133</v>
      </c>
      <c r="C30" s="1144" t="s">
        <v>1489</v>
      </c>
      <c r="D30" s="1311"/>
      <c r="E30" s="1311"/>
      <c r="F30" s="1311"/>
      <c r="G30" s="1311"/>
    </row>
    <row r="31" spans="1:7" s="99" customFormat="1" ht="15" customHeight="1" x14ac:dyDescent="0.2">
      <c r="A31" s="97"/>
      <c r="B31" s="1160" t="s">
        <v>983</v>
      </c>
      <c r="C31" s="1144" t="s">
        <v>1490</v>
      </c>
      <c r="D31" s="142"/>
      <c r="E31" s="142"/>
      <c r="F31" s="142"/>
      <c r="G31" s="142"/>
    </row>
    <row r="32" spans="1:7" s="96" customFormat="1" ht="15" customHeight="1" thickBot="1" x14ac:dyDescent="0.25">
      <c r="A32" s="97"/>
      <c r="B32" s="1160" t="s">
        <v>149</v>
      </c>
      <c r="C32" s="1144" t="s">
        <v>1491</v>
      </c>
      <c r="D32" s="142"/>
      <c r="E32" s="142"/>
      <c r="F32" s="142"/>
      <c r="G32" s="142"/>
    </row>
    <row r="33" spans="1:9" s="96" customFormat="1" ht="28.5" customHeight="1" thickBot="1" x14ac:dyDescent="0.25">
      <c r="A33" s="1256">
        <v>5</v>
      </c>
      <c r="B33" s="1161"/>
      <c r="C33" s="1156" t="s">
        <v>1506</v>
      </c>
      <c r="D33" s="1175"/>
      <c r="E33" s="1175"/>
      <c r="F33" s="1175"/>
      <c r="G33" s="1175"/>
    </row>
    <row r="34" spans="1:9" s="96" customFormat="1" ht="29.25" customHeight="1" thickBot="1" x14ac:dyDescent="0.25">
      <c r="A34" s="1216"/>
      <c r="B34" s="1162" t="s">
        <v>28</v>
      </c>
      <c r="C34" s="1151" t="s">
        <v>1492</v>
      </c>
      <c r="D34" s="1175"/>
      <c r="E34" s="1175"/>
      <c r="F34" s="1175"/>
      <c r="G34" s="1175"/>
    </row>
    <row r="35" spans="1:9" s="96" customFormat="1" ht="15" customHeight="1" thickBot="1" x14ac:dyDescent="0.3">
      <c r="A35" s="1216" t="s">
        <v>32</v>
      </c>
      <c r="B35" s="117"/>
      <c r="C35" s="1142" t="s">
        <v>1493</v>
      </c>
      <c r="D35" s="1175"/>
      <c r="E35" s="1175"/>
      <c r="F35" s="1175"/>
      <c r="G35" s="1175"/>
    </row>
    <row r="36" spans="1:9" s="96" customFormat="1" ht="15" customHeight="1" thickBot="1" x14ac:dyDescent="0.25">
      <c r="A36" s="1216"/>
      <c r="B36" s="1164" t="s">
        <v>33</v>
      </c>
      <c r="C36" s="1144" t="s">
        <v>1494</v>
      </c>
      <c r="D36" s="1175"/>
      <c r="E36" s="1175"/>
      <c r="F36" s="1175"/>
      <c r="G36" s="1175"/>
    </row>
    <row r="37" spans="1:9" s="96" customFormat="1" ht="15" customHeight="1" thickBot="1" x14ac:dyDescent="0.3">
      <c r="A37" s="1256" t="s">
        <v>74</v>
      </c>
      <c r="B37" s="117"/>
      <c r="C37" s="1156" t="s">
        <v>1495</v>
      </c>
      <c r="D37" s="148">
        <f>+D38+D39</f>
        <v>0</v>
      </c>
      <c r="E37" s="148">
        <f t="shared" ref="E37:F37" si="2">+E38+E39</f>
        <v>0</v>
      </c>
      <c r="F37" s="148">
        <f t="shared" si="2"/>
        <v>0</v>
      </c>
      <c r="G37" s="148"/>
    </row>
    <row r="38" spans="1:9" s="96" customFormat="1" ht="15" customHeight="1" x14ac:dyDescent="0.2">
      <c r="A38" s="1257"/>
      <c r="B38" s="1160" t="s">
        <v>36</v>
      </c>
      <c r="C38" s="1144" t="s">
        <v>1496</v>
      </c>
      <c r="D38" s="142"/>
      <c r="E38" s="142"/>
      <c r="F38" s="142"/>
      <c r="G38" s="142"/>
    </row>
    <row r="39" spans="1:9" s="96" customFormat="1" ht="15" customHeight="1" thickBot="1" x14ac:dyDescent="0.25">
      <c r="A39" s="1258"/>
      <c r="B39" s="1160" t="s">
        <v>37</v>
      </c>
      <c r="C39" s="1144" t="s">
        <v>1497</v>
      </c>
      <c r="D39" s="142"/>
      <c r="E39" s="142"/>
      <c r="F39" s="142"/>
      <c r="G39" s="142"/>
    </row>
    <row r="40" spans="1:9" s="99" customFormat="1" ht="15" customHeight="1" thickBot="1" x14ac:dyDescent="0.25">
      <c r="A40" s="116"/>
      <c r="B40" s="1160" t="s">
        <v>1499</v>
      </c>
      <c r="C40" s="1144" t="s">
        <v>1498</v>
      </c>
      <c r="D40" s="142">
        <v>34161</v>
      </c>
      <c r="E40" s="142">
        <v>34519</v>
      </c>
      <c r="F40" s="142">
        <v>62674</v>
      </c>
      <c r="G40" s="142">
        <f>F40/E40*100</f>
        <v>181.56377647092904</v>
      </c>
      <c r="I40" s="110"/>
    </row>
    <row r="41" spans="1:9" s="99" customFormat="1" ht="15" hidden="1" customHeight="1" thickBot="1" x14ac:dyDescent="0.3">
      <c r="A41" s="116"/>
      <c r="B41" s="117"/>
      <c r="C41" s="2"/>
      <c r="D41" s="119"/>
      <c r="E41" s="119"/>
      <c r="F41" s="119"/>
      <c r="G41" s="119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SUM(D8,D19,D28,D31,D32,D37,D40)</f>
        <v>38429</v>
      </c>
      <c r="E42" s="152">
        <f t="shared" ref="E42:F42" si="3">SUM(E8,E19,E28,E31,E32,E37,E40)</f>
        <v>39259</v>
      </c>
      <c r="F42" s="152">
        <f t="shared" si="3"/>
        <v>62674</v>
      </c>
      <c r="G42" s="152">
        <f>F42/E42*100</f>
        <v>159.64237499681602</v>
      </c>
    </row>
    <row r="43" spans="1:9" ht="15" customHeight="1" thickBot="1" x14ac:dyDescent="0.25">
      <c r="A43" s="131"/>
      <c r="B43" s="132"/>
      <c r="C43" s="132"/>
      <c r="D43" s="390"/>
      <c r="E43" s="390"/>
      <c r="F43" s="390"/>
      <c r="G43" s="390"/>
    </row>
    <row r="44" spans="1:9" s="89" customFormat="1" ht="15" customHeight="1" x14ac:dyDescent="0.2">
      <c r="A44" s="150"/>
      <c r="B44" s="151"/>
      <c r="C44" s="387" t="s">
        <v>82</v>
      </c>
      <c r="D44" s="152"/>
      <c r="E44" s="152"/>
      <c r="F44" s="152"/>
      <c r="G44" s="152"/>
    </row>
    <row r="45" spans="1:9" s="125" customFormat="1" ht="15" customHeight="1" x14ac:dyDescent="0.2">
      <c r="A45" s="93" t="s">
        <v>2</v>
      </c>
      <c r="B45" s="2"/>
      <c r="C45" s="10" t="s">
        <v>49</v>
      </c>
      <c r="D45" s="141">
        <f>SUM(D46:D50)</f>
        <v>38429</v>
      </c>
      <c r="E45" s="141">
        <f t="shared" ref="E45:F45" si="4">SUM(E46:E50)</f>
        <v>39259</v>
      </c>
      <c r="F45" s="141">
        <f t="shared" si="4"/>
        <v>62674</v>
      </c>
      <c r="G45" s="141">
        <f>F45/E45*100</f>
        <v>159.64237499681602</v>
      </c>
    </row>
    <row r="46" spans="1:9" ht="15" customHeight="1" x14ac:dyDescent="0.2">
      <c r="A46" s="113"/>
      <c r="B46" s="124" t="s">
        <v>50</v>
      </c>
      <c r="C46" s="7" t="s">
        <v>51</v>
      </c>
      <c r="D46" s="147">
        <v>26469</v>
      </c>
      <c r="E46" s="147">
        <v>27041</v>
      </c>
      <c r="F46" s="147">
        <v>38628</v>
      </c>
      <c r="G46" s="147">
        <f>F46/E46*100</f>
        <v>142.84974668096595</v>
      </c>
    </row>
    <row r="47" spans="1:9" ht="15" customHeight="1" x14ac:dyDescent="0.2">
      <c r="A47" s="97"/>
      <c r="B47" s="109" t="s">
        <v>52</v>
      </c>
      <c r="C47" s="3" t="s">
        <v>53</v>
      </c>
      <c r="D47" s="142">
        <v>6957</v>
      </c>
      <c r="E47" s="142">
        <v>7111</v>
      </c>
      <c r="F47" s="142">
        <v>10660</v>
      </c>
      <c r="G47" s="142">
        <f>F47/E47*100</f>
        <v>149.90859232175501</v>
      </c>
    </row>
    <row r="48" spans="1:9" ht="15" customHeight="1" x14ac:dyDescent="0.2">
      <c r="A48" s="97"/>
      <c r="B48" s="109" t="s">
        <v>54</v>
      </c>
      <c r="C48" s="3" t="s">
        <v>55</v>
      </c>
      <c r="D48" s="142">
        <v>5003</v>
      </c>
      <c r="E48" s="142">
        <v>5107</v>
      </c>
      <c r="F48" s="142">
        <v>13386</v>
      </c>
      <c r="G48" s="142">
        <f>F48/E48*100</f>
        <v>262.11082827491674</v>
      </c>
    </row>
    <row r="49" spans="1:7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</row>
    <row r="50" spans="1:7" ht="15" customHeight="1" x14ac:dyDescent="0.2">
      <c r="A50" s="97"/>
      <c r="B50" s="109" t="s">
        <v>58</v>
      </c>
      <c r="C50" s="3" t="s">
        <v>59</v>
      </c>
      <c r="D50" s="142"/>
      <c r="E50" s="142"/>
      <c r="F50" s="142"/>
      <c r="G50" s="142"/>
    </row>
    <row r="51" spans="1:7" ht="15" customHeight="1" x14ac:dyDescent="0.2">
      <c r="A51" s="93" t="s">
        <v>3</v>
      </c>
      <c r="B51" s="2"/>
      <c r="C51" s="10" t="s">
        <v>1513</v>
      </c>
      <c r="D51" s="141">
        <f>SUM(D52:D55)</f>
        <v>0</v>
      </c>
      <c r="E51" s="141">
        <f t="shared" ref="E51:F51" si="5">SUM(E52:E55)</f>
        <v>0</v>
      </c>
      <c r="F51" s="141">
        <f t="shared" si="5"/>
        <v>0</v>
      </c>
      <c r="G51" s="141"/>
    </row>
    <row r="52" spans="1:7" s="125" customFormat="1" ht="15" customHeight="1" x14ac:dyDescent="0.2">
      <c r="A52" s="113"/>
      <c r="B52" s="1165" t="s">
        <v>4</v>
      </c>
      <c r="C52" s="1151" t="s">
        <v>1173</v>
      </c>
      <c r="D52" s="147"/>
      <c r="E52" s="147"/>
      <c r="F52" s="147"/>
      <c r="G52" s="147"/>
    </row>
    <row r="53" spans="1:7" ht="15" customHeight="1" x14ac:dyDescent="0.2">
      <c r="A53" s="97"/>
      <c r="B53" s="1166" t="s">
        <v>6</v>
      </c>
      <c r="C53" s="1144" t="s">
        <v>64</v>
      </c>
      <c r="D53" s="142"/>
      <c r="E53" s="142"/>
      <c r="F53" s="142"/>
      <c r="G53" s="142"/>
    </row>
    <row r="54" spans="1:7" ht="16.5" customHeight="1" thickBot="1" x14ac:dyDescent="0.25">
      <c r="A54" s="97"/>
      <c r="B54" s="1166" t="s">
        <v>7</v>
      </c>
      <c r="C54" s="1144" t="s">
        <v>1500</v>
      </c>
      <c r="D54" s="142"/>
      <c r="E54" s="142"/>
      <c r="F54" s="142"/>
      <c r="G54" s="142"/>
    </row>
    <row r="55" spans="1:7" ht="15" hidden="1" customHeight="1" x14ac:dyDescent="0.2">
      <c r="A55" s="97"/>
      <c r="B55" s="109"/>
      <c r="C55" s="3"/>
      <c r="D55" s="142"/>
      <c r="E55" s="142"/>
      <c r="F55" s="142"/>
      <c r="G55" s="142"/>
    </row>
    <row r="56" spans="1:7" ht="15" customHeight="1" thickBot="1" x14ac:dyDescent="0.25">
      <c r="A56" s="93" t="s">
        <v>12</v>
      </c>
      <c r="B56" s="2"/>
      <c r="C56" s="10" t="s">
        <v>514</v>
      </c>
      <c r="D56" s="119"/>
      <c r="E56" s="119"/>
      <c r="F56" s="119"/>
      <c r="G56" s="119"/>
    </row>
    <row r="57" spans="1:7" s="99" customFormat="1" ht="15" hidden="1" customHeight="1" x14ac:dyDescent="0.2">
      <c r="A57" s="93"/>
      <c r="B57" s="2"/>
      <c r="C57" s="10"/>
      <c r="D57" s="119"/>
      <c r="E57" s="119"/>
      <c r="F57" s="119"/>
      <c r="G57" s="119"/>
    </row>
    <row r="58" spans="1:7" ht="15" customHeight="1" thickBot="1" x14ac:dyDescent="0.25">
      <c r="A58" s="150" t="s">
        <v>68</v>
      </c>
      <c r="B58" s="151"/>
      <c r="C58" s="354" t="s">
        <v>516</v>
      </c>
      <c r="D58" s="152">
        <f>+D45+D51+D56</f>
        <v>38429</v>
      </c>
      <c r="E58" s="152">
        <f t="shared" ref="E58:F58" si="6">+E45+E51+E56</f>
        <v>39259</v>
      </c>
      <c r="F58" s="152">
        <f t="shared" si="6"/>
        <v>62674</v>
      </c>
      <c r="G58" s="152">
        <f>F58/E58*100</f>
        <v>159.64237499681602</v>
      </c>
    </row>
    <row r="59" spans="1:7" ht="15" customHeight="1" thickBot="1" x14ac:dyDescent="0.25">
      <c r="A59" s="131"/>
      <c r="B59" s="132"/>
      <c r="C59" s="132"/>
      <c r="D59" s="132"/>
      <c r="E59" s="132"/>
      <c r="F59" s="132"/>
      <c r="G59" s="132"/>
    </row>
    <row r="60" spans="1:7" ht="15" customHeight="1" x14ac:dyDescent="0.2">
      <c r="A60" s="133" t="s">
        <v>136</v>
      </c>
      <c r="B60" s="134"/>
      <c r="C60" s="135"/>
      <c r="D60" s="356">
        <v>9</v>
      </c>
      <c r="E60" s="356">
        <v>9</v>
      </c>
      <c r="F60" s="356">
        <v>11</v>
      </c>
      <c r="G60" s="356"/>
    </row>
    <row r="61" spans="1:7" ht="15" customHeight="1" x14ac:dyDescent="0.2">
      <c r="A61" s="133" t="s">
        <v>137</v>
      </c>
      <c r="B61" s="134"/>
      <c r="C61" s="135"/>
      <c r="D61" s="356"/>
      <c r="E61" s="356"/>
      <c r="F61" s="356"/>
      <c r="G61" s="356"/>
    </row>
    <row r="62" spans="1:7" ht="15" customHeight="1" x14ac:dyDescent="0.2"/>
    <row r="63" spans="1:7" x14ac:dyDescent="0.2">
      <c r="C63" s="76">
        <v>9541</v>
      </c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9370078740157483" right="0.31496062992125984" top="0.31496062992125984" bottom="0.35433070866141736" header="0.51181102362204722" footer="0.15748031496062992"/>
  <pageSetup paperSize="9" scale="72" firstPageNumber="68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1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33203125" style="76" customWidth="1"/>
    <col min="4" max="4" width="15.1640625" style="76" hidden="1" customWidth="1"/>
    <col min="5" max="5" width="15" style="76" hidden="1" customWidth="1"/>
    <col min="6" max="6" width="18.5" style="76" customWidth="1"/>
    <col min="7" max="7" width="10.1640625" style="76" hidden="1" customWidth="1"/>
    <col min="8" max="16384" width="9.33203125" style="76"/>
  </cols>
  <sheetData>
    <row r="1" spans="1:7" s="326" customFormat="1" ht="21" customHeight="1" x14ac:dyDescent="0.2">
      <c r="A1" s="323"/>
      <c r="B1" s="324"/>
      <c r="C1" s="325"/>
      <c r="D1" s="1552" t="s">
        <v>530</v>
      </c>
      <c r="E1" s="1552"/>
      <c r="F1" s="1552"/>
      <c r="G1" s="1552"/>
    </row>
    <row r="2" spans="1:7" s="79" customFormat="1" ht="30" customHeight="1" x14ac:dyDescent="0.2">
      <c r="A2" s="1554" t="s">
        <v>495</v>
      </c>
      <c r="B2" s="1554"/>
      <c r="C2" s="77" t="s">
        <v>496</v>
      </c>
      <c r="D2" s="1523" t="s">
        <v>1024</v>
      </c>
      <c r="E2" s="343"/>
      <c r="F2" s="1523" t="s">
        <v>1420</v>
      </c>
      <c r="G2" s="343"/>
    </row>
    <row r="3" spans="1:7" s="79" customFormat="1" ht="30" customHeight="1" x14ac:dyDescent="0.2">
      <c r="A3" s="1555" t="s">
        <v>122</v>
      </c>
      <c r="B3" s="1555"/>
      <c r="C3" s="80" t="s">
        <v>1448</v>
      </c>
      <c r="D3" s="1524"/>
      <c r="E3" s="327"/>
      <c r="F3" s="1524"/>
      <c r="G3" s="327"/>
    </row>
    <row r="4" spans="1:7" s="83" customFormat="1" ht="15.95" customHeight="1" x14ac:dyDescent="0.25">
      <c r="A4" s="81"/>
      <c r="B4" s="81"/>
      <c r="C4" s="81"/>
      <c r="D4" s="1527"/>
      <c r="E4" s="1527"/>
      <c r="F4" s="1527"/>
      <c r="G4" s="82" t="s">
        <v>79</v>
      </c>
    </row>
    <row r="5" spans="1:7" ht="35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89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/>
      <c r="E18" s="145"/>
      <c r="F18" s="145"/>
      <c r="G18" s="145"/>
    </row>
    <row r="19" spans="1:7" s="96" customFormat="1" ht="30.75" customHeight="1" x14ac:dyDescent="0.2">
      <c r="A19" s="93" t="s">
        <v>3</v>
      </c>
      <c r="B19" s="94"/>
      <c r="C19" s="1142" t="s">
        <v>1482</v>
      </c>
      <c r="D19" s="141">
        <f>SUM(D20:D25)</f>
        <v>0</v>
      </c>
      <c r="E19" s="141">
        <f t="shared" ref="E19:F19" si="1">SUM(E20:E25)</f>
        <v>1561</v>
      </c>
      <c r="F19" s="141">
        <f t="shared" si="1"/>
        <v>0</v>
      </c>
      <c r="G19" s="141">
        <f>F19/E19*100</f>
        <v>0</v>
      </c>
    </row>
    <row r="20" spans="1:7" s="99" customFormat="1" ht="30" customHeight="1" x14ac:dyDescent="0.2">
      <c r="A20" s="97"/>
      <c r="B20" s="98" t="s">
        <v>4</v>
      </c>
      <c r="C20" s="1151" t="s">
        <v>1483</v>
      </c>
      <c r="D20" s="142"/>
      <c r="E20" s="142">
        <v>1561</v>
      </c>
      <c r="F20" s="142"/>
      <c r="G20" s="142">
        <f>F20/E20*100</f>
        <v>0</v>
      </c>
    </row>
    <row r="21" spans="1:7" s="99" customFormat="1" ht="15" customHeight="1" x14ac:dyDescent="0.2">
      <c r="A21" s="1294"/>
      <c r="B21" s="1148" t="s">
        <v>239</v>
      </c>
      <c r="C21" s="1152" t="s">
        <v>34</v>
      </c>
      <c r="D21" s="1296"/>
      <c r="E21" s="1296"/>
      <c r="F21" s="1296"/>
      <c r="G21" s="1296"/>
    </row>
    <row r="22" spans="1:7" s="99" customFormat="1" ht="29.25" customHeight="1" x14ac:dyDescent="0.2">
      <c r="A22" s="1294"/>
      <c r="B22" s="1148" t="s">
        <v>255</v>
      </c>
      <c r="C22" s="1152" t="s">
        <v>1484</v>
      </c>
      <c r="D22" s="1296"/>
      <c r="E22" s="1296"/>
      <c r="F22" s="1296"/>
      <c r="G22" s="1296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/>
      <c r="E23" s="142"/>
      <c r="F23" s="142"/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/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/>
      <c r="E25" s="142"/>
      <c r="F25" s="142"/>
      <c r="G25" s="142"/>
    </row>
    <row r="26" spans="1:7" s="99" customFormat="1" ht="15" customHeight="1" thickBot="1" x14ac:dyDescent="0.25">
      <c r="A26" s="1256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customHeight="1" thickBot="1" x14ac:dyDescent="0.25">
      <c r="A28" s="1256" t="s">
        <v>68</v>
      </c>
      <c r="B28" s="94"/>
      <c r="C28" s="1156" t="s">
        <v>1505</v>
      </c>
      <c r="D28" s="119"/>
      <c r="E28" s="119"/>
      <c r="F28" s="119"/>
      <c r="G28" s="119"/>
    </row>
    <row r="29" spans="1:7" s="99" customFormat="1" ht="15" customHeight="1" x14ac:dyDescent="0.2">
      <c r="A29" s="97"/>
      <c r="B29" s="1160" t="s">
        <v>133</v>
      </c>
      <c r="C29" s="1144" t="s">
        <v>1489</v>
      </c>
      <c r="D29" s="1311"/>
      <c r="E29" s="1311"/>
      <c r="F29" s="1311"/>
      <c r="G29" s="1311"/>
    </row>
    <row r="30" spans="1:7" s="99" customFormat="1" ht="15" customHeight="1" x14ac:dyDescent="0.2">
      <c r="A30" s="97"/>
      <c r="B30" s="1160" t="s">
        <v>983</v>
      </c>
      <c r="C30" s="1144" t="s">
        <v>1490</v>
      </c>
      <c r="D30" s="1311"/>
      <c r="E30" s="1311"/>
      <c r="F30" s="1311"/>
      <c r="G30" s="1311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42">
        <v>0</v>
      </c>
      <c r="E31" s="142"/>
      <c r="F31" s="142"/>
      <c r="G31" s="142" t="e">
        <f>F31/E31*100</f>
        <v>#DIV/0!</v>
      </c>
    </row>
    <row r="32" spans="1:7" s="99" customFormat="1" ht="30.75" customHeight="1" thickBot="1" x14ac:dyDescent="0.25">
      <c r="A32" s="1256">
        <v>5</v>
      </c>
      <c r="B32" s="1161"/>
      <c r="C32" s="1156" t="s">
        <v>1506</v>
      </c>
      <c r="D32" s="1296"/>
      <c r="E32" s="1296"/>
      <c r="F32" s="1296"/>
      <c r="G32" s="1296"/>
    </row>
    <row r="33" spans="1:7" s="99" customFormat="1" ht="31.5" customHeight="1" thickBot="1" x14ac:dyDescent="0.25">
      <c r="A33" s="1216"/>
      <c r="B33" s="1162" t="s">
        <v>28</v>
      </c>
      <c r="C33" s="1151" t="s">
        <v>1492</v>
      </c>
      <c r="D33" s="1296"/>
      <c r="E33" s="1296"/>
      <c r="F33" s="1296"/>
      <c r="G33" s="1296"/>
    </row>
    <row r="34" spans="1:7" s="96" customFormat="1" ht="15" customHeight="1" thickBot="1" x14ac:dyDescent="0.3">
      <c r="A34" s="1216" t="s">
        <v>32</v>
      </c>
      <c r="B34" s="117"/>
      <c r="C34" s="1142" t="s">
        <v>1493</v>
      </c>
      <c r="D34" s="142"/>
      <c r="E34" s="142"/>
      <c r="F34" s="142"/>
      <c r="G34" s="142"/>
    </row>
    <row r="35" spans="1:7" s="96" customFormat="1" ht="30" customHeight="1" thickBot="1" x14ac:dyDescent="0.25">
      <c r="A35" s="1216"/>
      <c r="B35" s="1164" t="s">
        <v>33</v>
      </c>
      <c r="C35" s="1144" t="s">
        <v>1494</v>
      </c>
      <c r="D35" s="1175"/>
      <c r="E35" s="1175"/>
      <c r="F35" s="1175"/>
      <c r="G35" s="1175"/>
    </row>
    <row r="36" spans="1:7" s="96" customFormat="1" ht="25.5" customHeight="1" thickBot="1" x14ac:dyDescent="0.3">
      <c r="A36" s="1256" t="s">
        <v>74</v>
      </c>
      <c r="B36" s="117"/>
      <c r="C36" s="1156" t="s">
        <v>1495</v>
      </c>
      <c r="D36" s="148">
        <f>+D37+D38</f>
        <v>0</v>
      </c>
      <c r="E36" s="148">
        <f>+E37+E38</f>
        <v>0</v>
      </c>
      <c r="F36" s="148">
        <f>+F37+F38</f>
        <v>0</v>
      </c>
      <c r="G36" s="148"/>
    </row>
    <row r="37" spans="1:7" s="96" customFormat="1" ht="15" customHeight="1" x14ac:dyDescent="0.2">
      <c r="A37" s="1257"/>
      <c r="B37" s="1160" t="s">
        <v>36</v>
      </c>
      <c r="C37" s="1144" t="s">
        <v>1496</v>
      </c>
      <c r="D37" s="142"/>
      <c r="E37" s="142"/>
      <c r="F37" s="142"/>
      <c r="G37" s="142"/>
    </row>
    <row r="38" spans="1:7" s="96" customFormat="1" ht="15" customHeight="1" thickBot="1" x14ac:dyDescent="0.25">
      <c r="A38" s="1258"/>
      <c r="B38" s="1160" t="s">
        <v>37</v>
      </c>
      <c r="C38" s="1144" t="s">
        <v>1497</v>
      </c>
      <c r="D38" s="142"/>
      <c r="E38" s="142"/>
      <c r="F38" s="142"/>
      <c r="G38" s="142"/>
    </row>
    <row r="39" spans="1:7" s="99" customFormat="1" ht="15" customHeight="1" thickBot="1" x14ac:dyDescent="0.25">
      <c r="A39" s="116"/>
      <c r="B39" s="1160" t="s">
        <v>1499</v>
      </c>
      <c r="C39" s="1144" t="s">
        <v>1498</v>
      </c>
      <c r="D39" s="142">
        <v>54655</v>
      </c>
      <c r="E39" s="142">
        <v>54655</v>
      </c>
      <c r="F39" s="142">
        <v>56801</v>
      </c>
      <c r="G39" s="142">
        <f>F39/E39*100</f>
        <v>103.92644771750068</v>
      </c>
    </row>
    <row r="40" spans="1:7" s="99" customFormat="1" ht="15" hidden="1" customHeight="1" thickBot="1" x14ac:dyDescent="0.3">
      <c r="A40" s="116"/>
      <c r="B40" s="117"/>
      <c r="C40" s="2"/>
      <c r="D40" s="119"/>
      <c r="E40" s="119"/>
      <c r="F40" s="119"/>
      <c r="G40" s="119"/>
    </row>
    <row r="41" spans="1:7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SUM(D8,D19,D28,D31,D34,D36,D39)</f>
        <v>54655</v>
      </c>
      <c r="E41" s="152">
        <f>SUM(E8,E19,E28,E31,E34,E36,E39)</f>
        <v>56216</v>
      </c>
      <c r="F41" s="152">
        <f>SUM(F8,F19,F28,F31,F34,F36,F39)</f>
        <v>56801</v>
      </c>
      <c r="G41" s="152">
        <f>F41/E41*100</f>
        <v>101.04062900241924</v>
      </c>
    </row>
    <row r="42" spans="1:7" s="99" customFormat="1" ht="15" customHeight="1" x14ac:dyDescent="0.2">
      <c r="A42" s="153"/>
      <c r="B42" s="153"/>
      <c r="C42" s="154"/>
      <c r="D42" s="392"/>
      <c r="E42" s="392"/>
      <c r="F42" s="392"/>
      <c r="G42" s="392"/>
    </row>
    <row r="43" spans="1:7" ht="15" customHeight="1" x14ac:dyDescent="0.2">
      <c r="A43" s="393"/>
      <c r="B43" s="394"/>
      <c r="C43" s="394"/>
      <c r="D43" s="395"/>
      <c r="E43" s="395"/>
      <c r="F43" s="395"/>
      <c r="G43" s="395"/>
    </row>
    <row r="44" spans="1:7" s="89" customFormat="1" ht="15" customHeight="1" x14ac:dyDescent="0.2">
      <c r="A44" s="150"/>
      <c r="B44" s="151"/>
      <c r="C44" s="387" t="s">
        <v>82</v>
      </c>
      <c r="D44" s="152"/>
      <c r="E44" s="152"/>
      <c r="F44" s="152"/>
      <c r="G44" s="152"/>
    </row>
    <row r="45" spans="1:7" s="125" customFormat="1" ht="15" customHeight="1" x14ac:dyDescent="0.2">
      <c r="A45" s="93" t="s">
        <v>2</v>
      </c>
      <c r="B45" s="2"/>
      <c r="C45" s="10" t="s">
        <v>49</v>
      </c>
      <c r="D45" s="141">
        <f>SUM(D46:D50)</f>
        <v>54655</v>
      </c>
      <c r="E45" s="141">
        <f t="shared" ref="E45:F45" si="2">SUM(E46:E50)</f>
        <v>56216</v>
      </c>
      <c r="F45" s="141">
        <f t="shared" si="2"/>
        <v>56801</v>
      </c>
      <c r="G45" s="141">
        <f>F45/E45*100</f>
        <v>101.04062900241924</v>
      </c>
    </row>
    <row r="46" spans="1:7" ht="15" customHeight="1" x14ac:dyDescent="0.2">
      <c r="A46" s="113"/>
      <c r="B46" s="124" t="s">
        <v>50</v>
      </c>
      <c r="C46" s="7" t="s">
        <v>51</v>
      </c>
      <c r="D46" s="147">
        <v>42530</v>
      </c>
      <c r="E46" s="147">
        <v>43760</v>
      </c>
      <c r="F46" s="147">
        <v>44469</v>
      </c>
      <c r="G46" s="147">
        <f>F46/E46*100</f>
        <v>101.62020109689213</v>
      </c>
    </row>
    <row r="47" spans="1:7" ht="15" customHeight="1" x14ac:dyDescent="0.2">
      <c r="A47" s="97"/>
      <c r="B47" s="109" t="s">
        <v>52</v>
      </c>
      <c r="C47" s="3" t="s">
        <v>53</v>
      </c>
      <c r="D47" s="142">
        <v>11704</v>
      </c>
      <c r="E47" s="142">
        <v>12036</v>
      </c>
      <c r="F47" s="142">
        <v>12332</v>
      </c>
      <c r="G47" s="142">
        <f>F47/E47*100</f>
        <v>102.45928880026587</v>
      </c>
    </row>
    <row r="48" spans="1:7" ht="15" customHeight="1" x14ac:dyDescent="0.2">
      <c r="A48" s="97"/>
      <c r="B48" s="109" t="s">
        <v>54</v>
      </c>
      <c r="C48" s="3" t="s">
        <v>55</v>
      </c>
      <c r="D48" s="142">
        <v>421</v>
      </c>
      <c r="E48" s="142">
        <v>420</v>
      </c>
      <c r="F48" s="142"/>
      <c r="G48" s="142">
        <f>F48/E48*100</f>
        <v>0</v>
      </c>
    </row>
    <row r="49" spans="1:7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</row>
    <row r="50" spans="1:7" ht="15" customHeight="1" x14ac:dyDescent="0.2">
      <c r="A50" s="97"/>
      <c r="B50" s="109" t="s">
        <v>58</v>
      </c>
      <c r="C50" s="3" t="s">
        <v>59</v>
      </c>
      <c r="D50" s="142"/>
      <c r="E50" s="142"/>
      <c r="F50" s="142"/>
      <c r="G50" s="142"/>
    </row>
    <row r="51" spans="1:7" ht="15" customHeight="1" x14ac:dyDescent="0.2">
      <c r="A51" s="93" t="s">
        <v>3</v>
      </c>
      <c r="B51" s="2"/>
      <c r="C51" s="10" t="s">
        <v>1513</v>
      </c>
      <c r="D51" s="141">
        <f>SUM(D52:D55)</f>
        <v>0</v>
      </c>
      <c r="E51" s="141">
        <f t="shared" ref="E51:F51" si="3">SUM(E52:E55)</f>
        <v>0</v>
      </c>
      <c r="F51" s="141">
        <f t="shared" si="3"/>
        <v>0</v>
      </c>
      <c r="G51" s="141"/>
    </row>
    <row r="52" spans="1:7" s="125" customFormat="1" ht="15" customHeight="1" x14ac:dyDescent="0.2">
      <c r="A52" s="113"/>
      <c r="B52" s="1165" t="s">
        <v>4</v>
      </c>
      <c r="C52" s="1151" t="s">
        <v>1173</v>
      </c>
      <c r="D52" s="147"/>
      <c r="E52" s="147"/>
      <c r="F52" s="147"/>
      <c r="G52" s="147"/>
    </row>
    <row r="53" spans="1:7" ht="15" customHeight="1" x14ac:dyDescent="0.2">
      <c r="A53" s="97"/>
      <c r="B53" s="1166" t="s">
        <v>6</v>
      </c>
      <c r="C53" s="1144" t="s">
        <v>64</v>
      </c>
      <c r="D53" s="142"/>
      <c r="E53" s="142"/>
      <c r="F53" s="142"/>
      <c r="G53" s="142"/>
    </row>
    <row r="54" spans="1:7" ht="16.5" customHeight="1" thickBot="1" x14ac:dyDescent="0.25">
      <c r="A54" s="97"/>
      <c r="B54" s="1166" t="s">
        <v>7</v>
      </c>
      <c r="C54" s="1144" t="s">
        <v>1500</v>
      </c>
      <c r="D54" s="142"/>
      <c r="E54" s="142"/>
      <c r="F54" s="142"/>
      <c r="G54" s="142"/>
    </row>
    <row r="55" spans="1:7" ht="15" hidden="1" customHeight="1" x14ac:dyDescent="0.2">
      <c r="A55" s="97"/>
      <c r="B55" s="109"/>
      <c r="C55" s="3"/>
      <c r="D55" s="142"/>
      <c r="E55" s="142"/>
      <c r="F55" s="142"/>
      <c r="G55" s="142"/>
    </row>
    <row r="56" spans="1:7" ht="15" customHeight="1" thickBot="1" x14ac:dyDescent="0.25">
      <c r="A56" s="93" t="s">
        <v>12</v>
      </c>
      <c r="B56" s="2"/>
      <c r="C56" s="10" t="s">
        <v>514</v>
      </c>
      <c r="D56" s="119"/>
      <c r="E56" s="119"/>
      <c r="F56" s="119"/>
      <c r="G56" s="119"/>
    </row>
    <row r="57" spans="1:7" s="99" customFormat="1" ht="15" hidden="1" customHeight="1" x14ac:dyDescent="0.2">
      <c r="A57" s="93"/>
      <c r="B57" s="2"/>
      <c r="C57" s="10"/>
      <c r="D57" s="119"/>
      <c r="E57" s="119"/>
      <c r="F57" s="119"/>
      <c r="G57" s="119"/>
    </row>
    <row r="58" spans="1:7" ht="15" customHeight="1" thickBot="1" x14ac:dyDescent="0.25">
      <c r="A58" s="150" t="s">
        <v>68</v>
      </c>
      <c r="B58" s="151"/>
      <c r="C58" s="354" t="s">
        <v>516</v>
      </c>
      <c r="D58" s="152">
        <f>+D45+D51+D56</f>
        <v>54655</v>
      </c>
      <c r="E58" s="152">
        <f t="shared" ref="E58:F58" si="4">+E45+E51+E56</f>
        <v>56216</v>
      </c>
      <c r="F58" s="152">
        <f t="shared" si="4"/>
        <v>56801</v>
      </c>
      <c r="G58" s="152">
        <f>F58/E58*100</f>
        <v>101.04062900241924</v>
      </c>
    </row>
    <row r="59" spans="1:7" ht="15" customHeight="1" thickBot="1" x14ac:dyDescent="0.25">
      <c r="A59" s="165"/>
      <c r="B59" s="166"/>
      <c r="C59" s="166"/>
      <c r="D59" s="166"/>
      <c r="E59" s="166"/>
      <c r="F59" s="166"/>
      <c r="G59" s="166"/>
    </row>
    <row r="60" spans="1:7" ht="15" customHeight="1" x14ac:dyDescent="0.2">
      <c r="A60" s="133" t="s">
        <v>136</v>
      </c>
      <c r="B60" s="396"/>
      <c r="C60" s="397"/>
      <c r="D60" s="398">
        <v>29.25</v>
      </c>
      <c r="E60" s="398">
        <v>29.25</v>
      </c>
      <c r="F60" s="398">
        <v>29.25</v>
      </c>
      <c r="G60" s="398"/>
    </row>
    <row r="61" spans="1:7" ht="15" customHeight="1" x14ac:dyDescent="0.2">
      <c r="A61" s="133" t="s">
        <v>137</v>
      </c>
      <c r="B61" s="396"/>
      <c r="C61" s="397"/>
      <c r="D61" s="399"/>
      <c r="E61" s="399"/>
      <c r="F61" s="399"/>
      <c r="G61" s="399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1496062992125984" right="0.19685039370078741" top="0.31496062992125984" bottom="0.39370078740157483" header="0.15748031496062992" footer="0.15748031496062992"/>
  <pageSetup paperSize="9" scale="65" firstPageNumber="69" orientation="portrait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61"/>
  <sheetViews>
    <sheetView view="pageBreakPreview" topLeftCell="A19" zoomScaleNormal="130" zoomScaleSheetLayoutView="100" workbookViewId="0">
      <selection activeCell="F39" sqref="F39"/>
    </sheetView>
  </sheetViews>
  <sheetFormatPr defaultRowHeight="12.75" x14ac:dyDescent="0.2"/>
  <cols>
    <col min="1" max="1" width="7.6640625" style="75" customWidth="1"/>
    <col min="2" max="2" width="9.6640625" style="76" customWidth="1"/>
    <col min="3" max="3" width="61.5" style="76" customWidth="1"/>
    <col min="4" max="4" width="15.5" style="76" hidden="1" customWidth="1"/>
    <col min="5" max="5" width="14.5" style="76" hidden="1" customWidth="1"/>
    <col min="6" max="6" width="19" style="76" customWidth="1"/>
    <col min="7" max="7" width="9.6640625" style="76" hidden="1" customWidth="1"/>
    <col min="8" max="8" width="9.33203125" style="76"/>
    <col min="9" max="9" width="12.33203125" style="76" customWidth="1"/>
    <col min="10" max="10" width="15.1640625" style="76" customWidth="1"/>
    <col min="11" max="12" width="9.33203125" style="76"/>
    <col min="13" max="13" width="10.6640625" style="76" bestFit="1" customWidth="1"/>
    <col min="14" max="16384" width="9.33203125" style="76"/>
  </cols>
  <sheetData>
    <row r="1" spans="1:10" s="326" customFormat="1" ht="14.25" customHeight="1" thickBot="1" x14ac:dyDescent="0.25">
      <c r="A1" s="323"/>
      <c r="B1" s="324"/>
      <c r="C1" s="325"/>
      <c r="D1" s="1552" t="s">
        <v>533</v>
      </c>
      <c r="E1" s="1552"/>
      <c r="F1" s="1552"/>
      <c r="G1" s="1552"/>
    </row>
    <row r="2" spans="1:10" s="79" customFormat="1" ht="31.5" customHeight="1" x14ac:dyDescent="0.2">
      <c r="A2" s="1554" t="s">
        <v>495</v>
      </c>
      <c r="B2" s="1554"/>
      <c r="C2" s="77" t="s">
        <v>534</v>
      </c>
      <c r="D2" s="1523" t="s">
        <v>1024</v>
      </c>
      <c r="E2" s="343"/>
      <c r="F2" s="1523" t="s">
        <v>1420</v>
      </c>
      <c r="G2" s="343"/>
    </row>
    <row r="3" spans="1:10" s="79" customFormat="1" ht="30" customHeight="1" thickBot="1" x14ac:dyDescent="0.25">
      <c r="A3" s="1555" t="s">
        <v>122</v>
      </c>
      <c r="B3" s="1555"/>
      <c r="C3" s="80"/>
      <c r="D3" s="1524"/>
      <c r="E3" s="327"/>
      <c r="F3" s="1524"/>
      <c r="G3" s="327"/>
    </row>
    <row r="4" spans="1:10" s="83" customFormat="1" ht="13.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10" ht="30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10" s="89" customFormat="1" ht="12.95" customHeight="1" thickBot="1" x14ac:dyDescent="0.25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10" s="89" customFormat="1" ht="15.9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10" s="96" customFormat="1" ht="15" customHeight="1" thickBot="1" x14ac:dyDescent="0.25">
      <c r="A8" s="93" t="s">
        <v>2</v>
      </c>
      <c r="B8" s="94"/>
      <c r="C8" s="1142" t="s">
        <v>1774</v>
      </c>
      <c r="D8" s="141">
        <f>SUM(D9:D18)</f>
        <v>238143</v>
      </c>
      <c r="E8" s="141">
        <f t="shared" ref="E8:F8" si="0">SUM(E9:E18)</f>
        <v>238160</v>
      </c>
      <c r="F8" s="141">
        <f t="shared" si="0"/>
        <v>274665</v>
      </c>
      <c r="G8" s="141">
        <f>F8/E8*100</f>
        <v>115.32793080282164</v>
      </c>
      <c r="I8" s="404">
        <f>SUM(F8-J8)</f>
        <v>0</v>
      </c>
      <c r="J8" s="404">
        <f>SUM('5.a sz. mell. '!F8+'5.b. sz. mell.'!F8)</f>
        <v>274665</v>
      </c>
    </row>
    <row r="9" spans="1:10" s="96" customFormat="1" ht="15" customHeight="1" x14ac:dyDescent="0.2">
      <c r="A9" s="102"/>
      <c r="B9" s="98" t="s">
        <v>50</v>
      </c>
      <c r="C9" s="1143" t="s">
        <v>1472</v>
      </c>
      <c r="D9" s="144">
        <f>SUM('.'!D9+'..'!D9+'...'!D9+'.-'!D9+'.-.'!D9+','!D9+'5.1. sz. mell. '!D9+'5.2. sz. mell.  '!D9+'5.3 sz. mell'!D9+'5.4. sz mell'!D9+'5.5. sz. mell.  '!D9+'5.6. sz. mell'!D9+'5.7. sz. mell.'!D9+'5.8. sz. mell.'!D9+'.....'!D9+'5.9. sz. mell.'!D9+'5.10 sz. mell '!D9)</f>
        <v>0</v>
      </c>
      <c r="E9" s="144">
        <f>SUM('.'!E9+'..'!E9+'...'!E9+'.-'!E9+'.-.'!E9+','!E9+'5.1. sz. mell. '!E9+'5.2. sz. mell.  '!E9+'5.3 sz. mell'!E9+'5.4. sz mell'!E9+'5.5. sz. mell.  '!E9+'5.6. sz. mell'!E9+'5.7. sz. mell.'!E9+'5.8. sz. mell.'!E9+'.....'!E9+'5.9. sz. mell.'!E9+'5.10 sz. mell '!E9)</f>
        <v>0</v>
      </c>
      <c r="F9" s="144">
        <f>SUM('.'!F9+'..'!F9+'...'!F9+'.-'!F9+'.-.'!F9+','!F9+'5.1. sz. mell. '!F9+'5.2. sz. mell.  '!F9+'5.3 sz. mell'!F9+'5.4. sz mell'!F9+'5.5. sz. mell.  '!F9+'5.6. sz. mell'!F9+'5.7. sz. mell.'!F9+'5.8. sz. mell.'!F9+'.....'!F9+'5.9. sz. mell.'!F9+'5.10 sz. mell '!F9)</f>
        <v>0</v>
      </c>
      <c r="G9" s="144"/>
      <c r="I9" s="404">
        <f t="shared" ref="I9:I60" si="1">SUM(F9-J9)</f>
        <v>0</v>
      </c>
      <c r="J9" s="404">
        <f>SUM('5.a sz. mell. '!F9+'5.b. sz. mell.'!F9)</f>
        <v>0</v>
      </c>
    </row>
    <row r="10" spans="1:10" s="96" customFormat="1" ht="15" customHeight="1" x14ac:dyDescent="0.2">
      <c r="A10" s="97"/>
      <c r="B10" s="98" t="s">
        <v>52</v>
      </c>
      <c r="C10" s="1144" t="s">
        <v>1473</v>
      </c>
      <c r="D10" s="142">
        <f>SUM('.'!D10+'..'!D10+'...'!D10+'.-'!D10+'.-.'!D10+','!D10+'5.1. sz. mell. '!D10+'5.2. sz. mell.  '!D10+'5.3 sz. mell'!D10+'5.4. sz mell'!D10+'5.5. sz. mell.  '!D10+'5.6. sz. mell'!D10+'5.7. sz. mell.'!D10+'5.8. sz. mell.'!D10+'.....'!D10+'5.9. sz. mell.'!D10+'5.10 sz. mell '!D10)</f>
        <v>184960</v>
      </c>
      <c r="E10" s="142">
        <f>SUM('.'!E10+'..'!E10+'...'!E10+'.-'!E10+'.-.'!E10+','!E10+'5.1. sz. mell. '!E10+'5.2. sz. mell.  '!E10+'5.3 sz. mell'!E10+'5.4. sz mell'!E10+'5.5. sz. mell.  '!E10+'5.6. sz. mell'!E10+'5.7. sz. mell.'!E10+'5.8. sz. mell.'!E10+'.....'!E10+'5.9. sz. mell.'!E10+'5.10 sz. mell '!E10)</f>
        <v>184960</v>
      </c>
      <c r="F10" s="142">
        <f>SUM('.'!F10+'..'!F10+'...'!F10+'.-'!F10+'.-.'!F10+','!F10+'5.1. sz. mell. '!F10+'5.2. sz. mell.  '!F10+'5.3 sz. mell'!F10+'5.4. sz mell'!F10+'5.5. sz. mell.  '!F10+'5.6. sz. mell'!F10+'5.7. sz. mell.'!F10+'5.8. sz. mell.'!F10+'.....'!F10+'5.9. sz. mell.'!F10+'5.10 sz. mell '!F10)</f>
        <v>209987</v>
      </c>
      <c r="G10" s="142">
        <f t="shared" ref="G10:G58" si="2">F10/E10*100</f>
        <v>113.53103373702422</v>
      </c>
      <c r="I10" s="404">
        <f t="shared" si="1"/>
        <v>6646</v>
      </c>
      <c r="J10" s="404">
        <f>SUM('5.a sz. mell. '!F10+'5.b. sz. mell.'!F10)</f>
        <v>203341</v>
      </c>
    </row>
    <row r="11" spans="1:10" s="96" customFormat="1" ht="15" customHeight="1" x14ac:dyDescent="0.2">
      <c r="A11" s="97"/>
      <c r="B11" s="98" t="s">
        <v>54</v>
      </c>
      <c r="C11" s="1144" t="s">
        <v>1474</v>
      </c>
      <c r="D11" s="142">
        <f>SUM('.'!D11+'..'!D11+'...'!D11+'.-'!D11+'.-.'!D11+','!D11+'5.1. sz. mell. '!D11+'5.2. sz. mell.  '!D11+'5.3 sz. mell'!D11+'5.4. sz mell'!D11+'5.5. sz. mell.  '!D11+'5.6. sz. mell'!D11+'5.7. sz. mell.'!D11+'5.8. sz. mell.'!D11+'.....'!D11+'5.9. sz. mell.'!D11+'5.10 sz. mell '!D11)</f>
        <v>4700</v>
      </c>
      <c r="E11" s="142">
        <f>SUM('.'!E11+'..'!E11+'...'!E11+'.-'!E11+'.-.'!E11+','!E11+'5.1. sz. mell. '!E11+'5.2. sz. mell.  '!E11+'5.3 sz. mell'!E11+'5.4. sz mell'!E11+'5.5. sz. mell.  '!E11+'5.6. sz. mell'!E11+'5.7. sz. mell.'!E11+'5.8. sz. mell.'!E11+'.....'!E11+'5.9. sz. mell.'!E11+'5.10 sz. mell '!E11)</f>
        <v>4700</v>
      </c>
      <c r="F11" s="142">
        <f>SUM('.'!F11+'..'!F11+'...'!F11+'.-'!F11+'.-.'!F11+','!F11+'5.1. sz. mell. '!F11+'5.2. sz. mell.  '!F11+'5.3 sz. mell'!F11+'5.4. sz mell'!F11+'5.5. sz. mell.  '!F11+'5.6. sz. mell'!F11+'5.7. sz. mell.'!F11+'5.8. sz. mell.'!F11+'.....'!F11+'5.9. sz. mell.'!F11+'5.10 sz. mell '!F11)</f>
        <v>4429</v>
      </c>
      <c r="G11" s="142">
        <f t="shared" si="2"/>
        <v>94.234042553191486</v>
      </c>
      <c r="I11" s="404">
        <f t="shared" si="1"/>
        <v>0</v>
      </c>
      <c r="J11" s="404">
        <f>SUM('5.a sz. mell. '!F11+'5.b. sz. mell.'!F11)</f>
        <v>4429</v>
      </c>
    </row>
    <row r="12" spans="1:10" s="96" customFormat="1" ht="15" customHeight="1" x14ac:dyDescent="0.2">
      <c r="A12" s="97"/>
      <c r="B12" s="98" t="s">
        <v>56</v>
      </c>
      <c r="C12" s="1144" t="s">
        <v>1475</v>
      </c>
      <c r="D12" s="142">
        <f>SUM('.'!D12+'..'!D12+'...'!D12+'.-'!D12+'.-.'!D12+','!D12+'5.1. sz. mell. '!D12+'5.2. sz. mell.  '!D12+'5.3 sz. mell'!D12+'5.4. sz mell'!D12+'5.5. sz. mell.  '!D12+'5.6. sz. mell'!D12+'5.7. sz. mell.'!D12+'5.8. sz. mell.'!D12+'.....'!D12+'5.9. sz. mell.'!D12+'5.10 sz. mell '!D12)</f>
        <v>2571</v>
      </c>
      <c r="E12" s="142">
        <f>SUM('.'!E12+'..'!E12+'...'!E12+'.-'!E12+'.-.'!E12+','!E12+'5.1. sz. mell. '!E12+'5.2. sz. mell.  '!E12+'5.3 sz. mell'!E12+'5.4. sz mell'!E12+'5.5. sz. mell.  '!E12+'5.6. sz. mell'!E12+'5.7. sz. mell.'!E12+'5.8. sz. mell.'!E12+'.....'!E12+'5.9. sz. mell.'!E12+'5.10 sz. mell '!E12)</f>
        <v>2571</v>
      </c>
      <c r="F12" s="142">
        <f>SUM('.'!F12+'..'!F12+'...'!F12+'.-'!F12+'.-.'!F12+','!F12+'5.1. sz. mell. '!F12+'5.2. sz. mell.  '!F12+'5.3 sz. mell'!F12+'5.4. sz mell'!F12+'5.5. sz. mell.  '!F12+'5.6. sz. mell'!F12+'5.7. sz. mell.'!F12+'5.8. sz. mell.'!F12+'.....'!F12+'5.9. sz. mell.'!F12+'5.10 sz. mell '!F12)</f>
        <v>6456</v>
      </c>
      <c r="G12" s="142"/>
      <c r="I12" s="404">
        <f t="shared" si="1"/>
        <v>0</v>
      </c>
      <c r="J12" s="404">
        <f>SUM('5.a sz. mell. '!F12+'5.b. sz. mell.'!F12)</f>
        <v>6456</v>
      </c>
    </row>
    <row r="13" spans="1:10" s="96" customFormat="1" ht="15" customHeight="1" x14ac:dyDescent="0.2">
      <c r="A13" s="97"/>
      <c r="B13" s="98" t="s">
        <v>227</v>
      </c>
      <c r="C13" s="5" t="s">
        <v>1476</v>
      </c>
      <c r="D13" s="142">
        <f>SUM('.'!D13+'..'!D13+'...'!D13+'.-'!D13+'.-.'!D13+','!D13+'5.1. sz. mell. '!D13+'5.2. sz. mell.  '!D13+'5.3 sz. mell'!D13+'5.4. sz mell'!D13+'5.5. sz. mell.  '!D13+'5.6. sz. mell'!D13+'5.7. sz. mell.'!D13+'5.8. sz. mell.'!D13+'.....'!D13+'5.9. sz. mell.'!D13+'5.10 sz. mell '!D13)</f>
        <v>907</v>
      </c>
      <c r="E13" s="142">
        <f>SUM('.'!E13+'..'!E13+'...'!E13+'.-'!E13+'.-.'!E13+','!E13+'5.1. sz. mell. '!E13+'5.2. sz. mell.  '!E13+'5.3 sz. mell'!E13+'5.4. sz mell'!E13+'5.5. sz. mell.  '!E13+'5.6. sz. mell'!E13+'5.7. sz. mell.'!E13+'5.8. sz. mell.'!E13+'.....'!E13+'5.9. sz. mell.'!E13+'5.10 sz. mell '!E13)</f>
        <v>907</v>
      </c>
      <c r="F13" s="142">
        <f>SUM('.'!F13+'..'!F13+'...'!F13+'.-'!F13+'.-.'!F13+','!F13+'5.1. sz. mell. '!F13+'5.2. sz. mell.  '!F13+'5.3 sz. mell'!F13+'5.4. sz mell'!F13+'5.5. sz. mell.  '!F13+'5.6. sz. mell'!F13+'5.7. sz. mell.'!F13+'5.8. sz. mell.'!F13+'.....'!F13+'5.9. sz. mell.'!F13+'5.10 sz. mell '!F13)</f>
        <v>907</v>
      </c>
      <c r="G13" s="142">
        <f t="shared" si="2"/>
        <v>100</v>
      </c>
      <c r="I13" s="404">
        <f t="shared" si="1"/>
        <v>0</v>
      </c>
      <c r="J13" s="404">
        <f>SUM('5.a sz. mell. '!F13+'5.b. sz. mell.'!F13)</f>
        <v>907</v>
      </c>
    </row>
    <row r="14" spans="1:10" s="96" customFormat="1" ht="15" customHeight="1" x14ac:dyDescent="0.2">
      <c r="A14" s="100"/>
      <c r="B14" s="98" t="s">
        <v>228</v>
      </c>
      <c r="C14" s="1144" t="s">
        <v>1477</v>
      </c>
      <c r="D14" s="142">
        <f>SUM('.'!D14+'..'!D14+'...'!D14+'.-'!D14+'.-.'!D14+','!D14+'5.1. sz. mell. '!D14+'5.2. sz. mell.  '!D14+'5.3 sz. mell'!D14+'5.4. sz mell'!D14+'5.5. sz. mell.  '!D14+'5.6. sz. mell'!D14+'5.7. sz. mell.'!D14+'5.8. sz. mell.'!D14+'.....'!D14+'5.9. sz. mell.'!D14+'5.10 sz. mell '!D14)</f>
        <v>45005</v>
      </c>
      <c r="E14" s="142">
        <f>SUM('.'!E14+'..'!E14+'...'!E14+'.-'!E14+'.-.'!E14+','!E14+'5.1. sz. mell. '!E14+'5.2. sz. mell.  '!E14+'5.3 sz. mell'!E14+'5.4. sz mell'!E14+'5.5. sz. mell.  '!E14+'5.6. sz. mell'!E14+'5.7. sz. mell.'!E14+'5.8. sz. mell.'!E14+'.....'!E14+'5.9. sz. mell.'!E14+'5.10 sz. mell '!E14)</f>
        <v>45005</v>
      </c>
      <c r="F14" s="142">
        <f>SUM('.'!F14+'..'!F14+'...'!F14+'.-'!F14+'.-.'!F14+','!F14+'5.1. sz. mell. '!F14+'5.2. sz. mell.  '!F14+'5.3 sz. mell'!F14+'5.4. sz mell'!F14+'5.5. sz. mell.  '!F14+'5.6. sz. mell'!F14+'5.7. sz. mell.'!F14+'5.8. sz. mell.'!F14+'.....'!F14+'5.9. sz. mell.'!F14+'5.10 sz. mell '!F14)</f>
        <v>52886</v>
      </c>
      <c r="G14" s="142">
        <f t="shared" si="2"/>
        <v>117.51138762359739</v>
      </c>
      <c r="I14" s="404">
        <f t="shared" si="1"/>
        <v>0</v>
      </c>
      <c r="J14" s="404">
        <f>SUM('5.a sz. mell. '!F14+'5.b. sz. mell.'!F14)</f>
        <v>52886</v>
      </c>
    </row>
    <row r="15" spans="1:10" s="99" customFormat="1" ht="15" customHeight="1" x14ac:dyDescent="0.2">
      <c r="A15" s="97"/>
      <c r="B15" s="98" t="s">
        <v>230</v>
      </c>
      <c r="C15" s="1144" t="s">
        <v>1478</v>
      </c>
      <c r="D15" s="142">
        <f>SUM('.'!D15+'..'!D15+'...'!D15+'.-'!D15+'.-.'!D15+','!D15+'5.1. sz. mell. '!D15+'5.2. sz. mell.  '!D16+'5.3 sz. mell'!D16+'5.4. sz mell'!D16+'5.5. sz. mell.  '!D16+'5.6. sz. mell'!D16+'5.7. sz. mell.'!D16+'5.8. sz. mell.'!D15+'.....'!D15+'5.9. sz. mell.'!D15+'5.10 sz. mell '!D15)</f>
        <v>0</v>
      </c>
      <c r="E15" s="142">
        <f>SUM('.'!E15+'..'!E15+'...'!E15+'.-'!E15+'.-.'!E15+','!E15+'5.1. sz. mell. '!E15+'5.2. sz. mell.  '!E16+'5.3 sz. mell'!E16+'5.4. sz mell'!E16+'5.5. sz. mell.  '!E16+'5.6. sz. mell'!E16+'5.7. sz. mell.'!E16+'5.8. sz. mell.'!E15+'.....'!E15+'5.9. sz. mell.'!E15+'5.10 sz. mell '!E15)</f>
        <v>17</v>
      </c>
      <c r="F15" s="142">
        <f>SUM('.'!F15+'..'!F15+'...'!F15+'.-'!F15+'.-.'!F15+','!F15+'5.1. sz. mell. '!F15+'5.2. sz. mell.  '!F16+'5.3 sz. mell'!F16+'5.4. sz mell'!F16+'5.5. sz. mell.  '!F16+'5.6. sz. mell'!F16+'5.7. sz. mell.'!F16+'5.8. sz. mell.'!F15+'.....'!F15+'5.9. sz. mell.'!F15+'5.10 sz. mell '!F15)</f>
        <v>0</v>
      </c>
      <c r="G15" s="142"/>
      <c r="I15" s="404">
        <f t="shared" si="1"/>
        <v>0</v>
      </c>
      <c r="J15" s="404">
        <f>SUM('5.a sz. mell. '!F15+'5.b. sz. mell.'!F15)</f>
        <v>0</v>
      </c>
    </row>
    <row r="16" spans="1:10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  <c r="I16" s="404"/>
      <c r="J16" s="404"/>
    </row>
    <row r="17" spans="1:10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  <c r="I17" s="404"/>
      <c r="J17" s="404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6">
        <f>SUM('.'!D16+'..'!D16+'...'!D16+'.-'!D16+'.-.'!D16+','!D16+'5.1. sz. mell. '!D16+'5.2. sz. mell.  '!D18+'5.3 sz. mell'!D18+'5.4. sz mell'!D18+'5.5. sz. mell.  '!D18+'5.6. sz. mell'!D18+'5.7. sz. mell.'!D18+'5.8. sz. mell.'!D18+'.....'!D16+'5.9. sz. mell.'!D18+'5.10 sz. mell '!D18)</f>
        <v>0</v>
      </c>
      <c r="E18" s="146">
        <f>SUM('.'!E16+'..'!E16+'...'!E16+'.-'!E16+'.-.'!E16+','!E16+'5.1. sz. mell. '!E16+'5.2. sz. mell.  '!E18+'5.3 sz. mell'!E18+'5.4. sz mell'!E18+'5.5. sz. mell.  '!E18+'5.6. sz. mell'!E18+'5.7. sz. mell.'!E18+'5.8. sz. mell.'!E18+'.....'!E16+'5.9. sz. mell.'!E18+'5.10 sz. mell '!E18)</f>
        <v>0</v>
      </c>
      <c r="F18" s="146">
        <f>SUM('.'!F16+'..'!F16+'...'!F16+'.-'!F16+'.-.'!F16+','!F16+'5.1. sz. mell. '!F16+'5.2. sz. mell.  '!F18+'5.3 sz. mell'!F18+'5.4. sz mell'!F18+'5.5. sz. mell.  '!F18+'5.6. sz. mell'!F18+'5.7. sz. mell.'!F18+'5.8. sz. mell.'!F18+'.....'!F16+'5.9. sz. mell.'!F18+'5.10 sz. mell '!F18)</f>
        <v>0</v>
      </c>
      <c r="G18" s="146" t="e">
        <f t="shared" si="2"/>
        <v>#DIV/0!</v>
      </c>
      <c r="I18" s="404">
        <f t="shared" si="1"/>
        <v>-6646</v>
      </c>
      <c r="J18" s="404">
        <f>SUM('5.a sz. mell. '!F18+'5.b. sz. mell.'!F18)</f>
        <v>6646</v>
      </c>
    </row>
    <row r="19" spans="1:10" s="96" customFormat="1" ht="31.5" customHeight="1" thickBot="1" x14ac:dyDescent="0.25">
      <c r="A19" s="93" t="s">
        <v>3</v>
      </c>
      <c r="B19" s="94"/>
      <c r="C19" s="1142" t="s">
        <v>1482</v>
      </c>
      <c r="D19" s="141">
        <f>SUM(D20:D25)-D23</f>
        <v>821536</v>
      </c>
      <c r="E19" s="141" t="e">
        <f>SUM(E20:E25)-E23-#REF!</f>
        <v>#REF!</v>
      </c>
      <c r="F19" s="141">
        <f>SUM(F20+F24+F25)</f>
        <v>418146</v>
      </c>
      <c r="G19" s="141" t="e">
        <f t="shared" si="2"/>
        <v>#REF!</v>
      </c>
      <c r="I19" s="404">
        <f t="shared" si="1"/>
        <v>0</v>
      </c>
      <c r="J19" s="404">
        <f>SUM('5.a sz. mell. '!F19+'5.b. sz. mell.'!F19)</f>
        <v>418146</v>
      </c>
    </row>
    <row r="20" spans="1:10" s="99" customFormat="1" ht="28.5" customHeight="1" x14ac:dyDescent="0.2">
      <c r="A20" s="97"/>
      <c r="B20" s="98" t="s">
        <v>4</v>
      </c>
      <c r="C20" s="1151" t="s">
        <v>1483</v>
      </c>
      <c r="D20" s="144"/>
      <c r="E20" s="144"/>
      <c r="F20" s="144">
        <f>SUM(F21:F22)</f>
        <v>418146</v>
      </c>
      <c r="G20" s="144" t="e">
        <f t="shared" si="2"/>
        <v>#DIV/0!</v>
      </c>
      <c r="I20" s="404">
        <f t="shared" si="1"/>
        <v>0</v>
      </c>
      <c r="J20" s="404">
        <f>SUM('5.a sz. mell. '!F20+'5.b. sz. mell.'!F20)</f>
        <v>418146</v>
      </c>
    </row>
    <row r="21" spans="1:10" s="99" customFormat="1" ht="15" customHeight="1" x14ac:dyDescent="0.2">
      <c r="A21" s="97"/>
      <c r="B21" s="1148" t="s">
        <v>239</v>
      </c>
      <c r="C21" s="1152" t="s">
        <v>34</v>
      </c>
      <c r="D21" s="147">
        <f>SUM('5.10 sz. mell '!D21)</f>
        <v>442256</v>
      </c>
      <c r="E21" s="147">
        <f>SUM('5.10 sz. mell '!E21)</f>
        <v>442256</v>
      </c>
      <c r="F21" s="147">
        <f>SUM('5.10 sz. mell '!F21)</f>
        <v>418146</v>
      </c>
      <c r="G21" s="147">
        <f t="shared" si="2"/>
        <v>94.548406352881585</v>
      </c>
      <c r="I21" s="404">
        <f t="shared" si="1"/>
        <v>0</v>
      </c>
      <c r="J21" s="404">
        <f>SUM('5.a sz. mell. '!F21+'5.b. sz. mell.'!F21)</f>
        <v>418146</v>
      </c>
    </row>
    <row r="22" spans="1:10" s="99" customFormat="1" ht="35.25" customHeight="1" x14ac:dyDescent="0.2">
      <c r="A22" s="97"/>
      <c r="B22" s="1148" t="s">
        <v>255</v>
      </c>
      <c r="C22" s="1152" t="s">
        <v>1484</v>
      </c>
      <c r="D22" s="142">
        <f>SUM('.'!D18+'..'!D18+'...'!D18+'.-'!D18+'.-.'!D18+','!D18+'5.1. sz. mell. '!D18+'5.2. sz. mell.  '!D20+'5.3 sz. mell'!D20+'5.4. sz mell'!D20+'5.5. sz. mell.  '!D20+'5.6. sz. mell'!D20+'5.7. sz. mell.'!D20+'5.8. sz. mell.'!D20+'.....'!D18+'5.9. sz. mell.'!D20)</f>
        <v>374032</v>
      </c>
      <c r="E22" s="142">
        <f>SUM('.'!E18+'..'!E18+'...'!E18+'.-'!E18+'.-.'!E18+','!E18+'5.1. sz. mell. '!E18+'5.2. sz. mell.  '!E20+'5.3 sz. mell'!E20+'5.4. sz mell'!E20+'5.5. sz. mell.  '!E20+'5.6. sz. mell'!E20+'5.7. sz. mell.'!E20+'5.8. sz. mell.'!E20+'.....'!E18+'5.9. sz. mell.'!E20)</f>
        <v>385318</v>
      </c>
      <c r="F22" s="142">
        <f>SUM('.'!F18+'..'!F18+'...'!F18+'.-'!F18+'.-.'!F18+','!F18+'5.1. sz. mell. '!F19+'5.2. sz. mell.  '!F20+'5.3 sz. mell'!F20+'5.4. sz mell'!F20+'5.5. sz. mell.  '!F20+'5.6. sz. mell'!F20+'5.7. sz. mell.'!F20+'5.8. sz. mell.'!F20+'.....'!F18+'5.9. sz. mell.'!F20)</f>
        <v>0</v>
      </c>
      <c r="G22" s="142">
        <f t="shared" si="2"/>
        <v>0</v>
      </c>
      <c r="I22" s="404">
        <f t="shared" si="1"/>
        <v>0</v>
      </c>
      <c r="J22" s="404">
        <f>SUM('5.a sz. mell. '!F22+'5.b. sz. mell.'!F22)</f>
        <v>0</v>
      </c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f>SUM('.'!D19+'...'!D19+'5.1. sz. mell. '!D19+'5.2. sz. mell.  '!D21)</f>
        <v>53245</v>
      </c>
      <c r="E23" s="142">
        <f>SUM('.'!E19+'...'!E19+'5.1. sz. mell. '!E19+'5.2. sz. mell.  '!E21)</f>
        <v>54476</v>
      </c>
      <c r="F23" s="142"/>
      <c r="G23" s="142">
        <f t="shared" si="2"/>
        <v>0</v>
      </c>
      <c r="I23" s="404">
        <f t="shared" si="1"/>
        <v>0</v>
      </c>
      <c r="J23" s="404">
        <f>SUM('5.a sz. mell. '!F23+'5.b. sz. mell.'!F23)</f>
        <v>0</v>
      </c>
    </row>
    <row r="24" spans="1:10" s="99" customFormat="1" ht="15" customHeight="1" x14ac:dyDescent="0.2">
      <c r="A24" s="97"/>
      <c r="B24" s="1148" t="s">
        <v>6</v>
      </c>
      <c r="C24" s="1144" t="s">
        <v>1485</v>
      </c>
      <c r="D24" s="142"/>
      <c r="E24" s="142">
        <f>'5.7. sz. mell.'!E23</f>
        <v>2090</v>
      </c>
      <c r="F24" s="142">
        <f>'5.7. sz. mell.'!F23</f>
        <v>0</v>
      </c>
      <c r="G24" s="142"/>
      <c r="I24" s="404">
        <f t="shared" si="1"/>
        <v>0</v>
      </c>
      <c r="J24" s="404">
        <f>SUM('5.a sz. mell. '!F24+'5.b. sz. mell.'!F24)</f>
        <v>0</v>
      </c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6">
        <f>SUM('.....'!D23+'5.9. sz. mell.'!D24)</f>
        <v>5248</v>
      </c>
      <c r="E25" s="146">
        <f>SUM('.....'!E23+'5.9. sz. mell.'!E24+'5.2. sz. mell.  '!E26)+'.....'!E20+'5.10 sz. mell '!E25</f>
        <v>5278</v>
      </c>
      <c r="F25" s="146">
        <f>SUM('.....'!F23+'5.9. sz. mell.'!F24+'5.2. sz. mell.  '!F26)+'.....'!F20+'5.10 sz. mell '!F25</f>
        <v>0</v>
      </c>
      <c r="G25" s="142">
        <f t="shared" si="2"/>
        <v>0</v>
      </c>
      <c r="I25" s="404">
        <f t="shared" si="1"/>
        <v>0</v>
      </c>
      <c r="J25" s="404">
        <f>SUM('5.a sz. mell. '!F25+'5.b. sz. mell.'!F25)</f>
        <v>0</v>
      </c>
    </row>
    <row r="26" spans="1:10" s="96" customFormat="1" ht="15" customHeight="1" thickBot="1" x14ac:dyDescent="0.25">
      <c r="A26" s="93" t="s">
        <v>12</v>
      </c>
      <c r="B26" s="2"/>
      <c r="C26" s="1142" t="s">
        <v>1487</v>
      </c>
      <c r="D26" s="141">
        <f>SUM(D27)</f>
        <v>0</v>
      </c>
      <c r="E26" s="141">
        <f t="shared" ref="E26:F26" si="3">SUM(E27)</f>
        <v>0</v>
      </c>
      <c r="F26" s="141">
        <f t="shared" si="3"/>
        <v>0</v>
      </c>
      <c r="G26" s="141" t="e">
        <f>F26/E26*100</f>
        <v>#DIV/0!</v>
      </c>
      <c r="I26" s="404">
        <f t="shared" si="1"/>
        <v>0</v>
      </c>
      <c r="J26" s="404">
        <f>SUM('5.a sz. mell. '!F26+'5.b. sz. mell.'!F26)</f>
        <v>0</v>
      </c>
    </row>
    <row r="27" spans="1:10" s="99" customFormat="1" ht="15" customHeight="1" thickBot="1" x14ac:dyDescent="0.25">
      <c r="A27" s="97"/>
      <c r="B27" s="1148" t="s">
        <v>13</v>
      </c>
      <c r="C27" s="1144" t="s">
        <v>1488</v>
      </c>
      <c r="D27" s="146">
        <f>SUM('.'!D25+'..'!D23+'...'!D25+'.-'!D23+'.-.'!D23+','!D23+'5.1. sz. mell. '!D24+'5.2. sz. mell.  '!D29+'5.3 sz. mell'!D28+'5.4. sz mell'!D28+'5.5. sz. mell.  '!D32+'5.6. sz. mell'!D32+'5.7. sz. mell.'!D32+'5.8. sz. mell.'!D32+'.....'!D25+'5.9. sz. mell.'!D32+'5.10 sz. mell '!D32)</f>
        <v>0</v>
      </c>
      <c r="E27" s="146">
        <f>SUM('.'!E25+'..'!E23+'...'!E25+'.-'!E23+'.-.'!E23+','!E23+'5.1. sz. mell. '!E24+'5.2. sz. mell.  '!E29+'5.3 sz. mell'!E28+'5.4. sz mell'!E28+'5.5. sz. mell.  '!E32+'5.6. sz. mell'!E32+'5.7. sz. mell.'!E32+'5.8. sz. mell.'!E32+'.....'!E25+'5.9. sz. mell.'!E32+'5.10 sz. mell '!E32)</f>
        <v>0</v>
      </c>
      <c r="F27" s="146">
        <f>SUM('.'!F25+'..'!F23+'...'!F25+'.-'!F23+'.-.'!F23+','!F23+'5.1. sz. mell. '!F24+'5.2. sz. mell.  '!F29+'5.3 sz. mell'!F28+'5.4. sz mell'!F28+'5.5. sz. mell.  '!F32+'5.6. sz. mell'!F32+'5.7. sz. mell.'!F32+'5.8. sz. mell.'!F32+'.....'!F25+'5.9. sz. mell.'!F32+'5.10 sz. mell '!F32)</f>
        <v>0</v>
      </c>
      <c r="G27" s="146" t="e">
        <f>F27/E27*100</f>
        <v>#DIV/0!</v>
      </c>
      <c r="I27" s="404">
        <f t="shared" si="1"/>
        <v>0</v>
      </c>
      <c r="J27" s="404">
        <f>SUM('5.a sz. mell. '!F27+'5.b. sz. mell.'!F27)</f>
        <v>0</v>
      </c>
    </row>
    <row r="28" spans="1:10" s="99" customFormat="1" ht="15" customHeight="1" thickBot="1" x14ac:dyDescent="0.25">
      <c r="A28" s="93" t="s">
        <v>68</v>
      </c>
      <c r="B28" s="94"/>
      <c r="C28" s="1156" t="s">
        <v>1505</v>
      </c>
      <c r="D28" s="119"/>
      <c r="E28" s="119"/>
      <c r="F28" s="119"/>
      <c r="G28" s="119" t="e">
        <f t="shared" si="2"/>
        <v>#DIV/0!</v>
      </c>
      <c r="I28" s="404">
        <f t="shared" si="1"/>
        <v>0</v>
      </c>
      <c r="J28" s="404">
        <f>SUM('5.a sz. mell. '!F28+'5.b. sz. mell.'!F28)</f>
        <v>0</v>
      </c>
    </row>
    <row r="29" spans="1:10" s="99" customFormat="1" ht="15" customHeight="1" x14ac:dyDescent="0.2">
      <c r="A29" s="97"/>
      <c r="B29" s="1160" t="s">
        <v>133</v>
      </c>
      <c r="C29" s="1144" t="s">
        <v>1489</v>
      </c>
      <c r="D29" s="142"/>
      <c r="E29" s="142"/>
      <c r="F29" s="142"/>
      <c r="G29" s="142" t="e">
        <f t="shared" si="2"/>
        <v>#DIV/0!</v>
      </c>
      <c r="I29" s="404">
        <f t="shared" si="1"/>
        <v>0</v>
      </c>
      <c r="J29" s="404">
        <f>SUM('5.a sz. mell. '!F29+'5.b. sz. mell.'!F29)</f>
        <v>0</v>
      </c>
    </row>
    <row r="30" spans="1:10" s="99" customFormat="1" ht="15" customHeight="1" x14ac:dyDescent="0.2">
      <c r="A30" s="97"/>
      <c r="B30" s="1160" t="s">
        <v>983</v>
      </c>
      <c r="C30" s="1144" t="s">
        <v>1490</v>
      </c>
      <c r="D30" s="142"/>
      <c r="E30" s="142"/>
      <c r="F30" s="142"/>
      <c r="G30" s="142"/>
      <c r="I30" s="404">
        <f t="shared" si="1"/>
        <v>0</v>
      </c>
      <c r="J30" s="404">
        <f>SUM('5.a sz. mell. '!F30+'5.b. sz. mell.'!F30)</f>
        <v>0</v>
      </c>
    </row>
    <row r="31" spans="1:10" s="99" customFormat="1" ht="15" customHeight="1" thickBot="1" x14ac:dyDescent="0.25">
      <c r="A31" s="97"/>
      <c r="B31" s="1160" t="s">
        <v>149</v>
      </c>
      <c r="C31" s="1144" t="s">
        <v>1491</v>
      </c>
      <c r="D31" s="142"/>
      <c r="E31" s="142"/>
      <c r="F31" s="142"/>
      <c r="G31" s="142"/>
      <c r="I31" s="404">
        <f t="shared" si="1"/>
        <v>0</v>
      </c>
      <c r="J31" s="404">
        <f>SUM('5.a sz. mell. '!F31+'5.b. sz. mell.'!F31)</f>
        <v>0</v>
      </c>
    </row>
    <row r="32" spans="1:10" s="96" customFormat="1" ht="30" customHeight="1" thickBot="1" x14ac:dyDescent="0.25">
      <c r="A32" s="1208">
        <v>5</v>
      </c>
      <c r="B32" s="1161"/>
      <c r="C32" s="1156" t="s">
        <v>1506</v>
      </c>
      <c r="D32" s="119"/>
      <c r="E32" s="119"/>
      <c r="F32" s="119"/>
      <c r="G32" s="119"/>
      <c r="I32" s="404">
        <f t="shared" si="1"/>
        <v>0</v>
      </c>
      <c r="J32" s="404">
        <f>SUM('5.a sz. mell. '!F32+'5.b. sz. mell.'!F32)</f>
        <v>0</v>
      </c>
    </row>
    <row r="33" spans="1:13" s="96" customFormat="1" ht="29.25" customHeight="1" thickBot="1" x14ac:dyDescent="0.25">
      <c r="A33" s="1216"/>
      <c r="B33" s="1162" t="s">
        <v>28</v>
      </c>
      <c r="C33" s="1151" t="s">
        <v>1492</v>
      </c>
      <c r="D33" s="1217"/>
      <c r="E33" s="1217"/>
      <c r="F33" s="1217"/>
      <c r="G33" s="1217"/>
      <c r="I33" s="404"/>
      <c r="J33" s="404"/>
    </row>
    <row r="34" spans="1:13" s="96" customFormat="1" ht="15" customHeight="1" thickBot="1" x14ac:dyDescent="0.3">
      <c r="A34" s="1216" t="s">
        <v>32</v>
      </c>
      <c r="B34" s="117"/>
      <c r="C34" s="1142" t="s">
        <v>1493</v>
      </c>
      <c r="D34" s="1217"/>
      <c r="E34" s="1217"/>
      <c r="F34" s="1217"/>
      <c r="G34" s="1217"/>
      <c r="I34" s="404"/>
      <c r="J34" s="404"/>
    </row>
    <row r="35" spans="1:13" s="96" customFormat="1" ht="30" customHeight="1" thickBot="1" x14ac:dyDescent="0.25">
      <c r="A35" s="1216"/>
      <c r="B35" s="1164" t="s">
        <v>33</v>
      </c>
      <c r="C35" s="1144" t="s">
        <v>1494</v>
      </c>
      <c r="D35" s="1217"/>
      <c r="E35" s="1217"/>
      <c r="F35" s="1217"/>
      <c r="G35" s="1217"/>
      <c r="I35" s="404"/>
      <c r="J35" s="404"/>
    </row>
    <row r="36" spans="1:13" s="96" customFormat="1" ht="15" customHeight="1" thickBot="1" x14ac:dyDescent="0.3">
      <c r="A36" s="1208" t="s">
        <v>74</v>
      </c>
      <c r="B36" s="117"/>
      <c r="C36" s="1156" t="s">
        <v>1495</v>
      </c>
      <c r="D36" s="148">
        <f>+D37+D38</f>
        <v>0</v>
      </c>
      <c r="E36" s="148">
        <f t="shared" ref="E36:F36" si="4">+E37+E38</f>
        <v>11288</v>
      </c>
      <c r="F36" s="148">
        <f t="shared" si="4"/>
        <v>0</v>
      </c>
      <c r="G36" s="148">
        <f t="shared" si="2"/>
        <v>0</v>
      </c>
      <c r="I36" s="404">
        <f t="shared" si="1"/>
        <v>0</v>
      </c>
      <c r="J36" s="404">
        <f>SUM('5.a sz. mell. '!F36+'5.b. sz. mell.'!F36)</f>
        <v>0</v>
      </c>
    </row>
    <row r="37" spans="1:13" s="96" customFormat="1" ht="15" customHeight="1" thickBot="1" x14ac:dyDescent="0.25">
      <c r="A37" s="1209"/>
      <c r="B37" s="1160" t="s">
        <v>36</v>
      </c>
      <c r="C37" s="1144" t="s">
        <v>1496</v>
      </c>
      <c r="D37" s="401"/>
      <c r="E37" s="401">
        <f>'5.1. sz. mell. '!E26+'5.2. sz. mell.  '!E34+'5.3 sz. mell'!E37+'5.4. sz mell'!E37+'5.5. sz. mell.  '!E34+'5.6. sz. mell'!E34+'5.7. sz. mell.'!E34+'5.8. sz. mell.'!E37+'.....'!E27+'5.9. sz. mell.'!E37+'5.10 sz. mell '!E37</f>
        <v>11288</v>
      </c>
      <c r="F37" s="401">
        <f>'5.1. sz. mell. '!F26+'5.2. sz. mell.  '!F34+'5.3 sz. mell'!F37+'5.4. sz mell'!F37+'5.5. sz. mell.  '!F34+'5.6. sz. mell'!F34+'5.7. sz. mell.'!F34+'5.8. sz. mell.'!F37+'.....'!F27+'5.9. sz. mell.'!F37+'5.10 sz. mell '!F37</f>
        <v>0</v>
      </c>
      <c r="G37" s="401">
        <f t="shared" si="2"/>
        <v>0</v>
      </c>
      <c r="I37" s="404">
        <f t="shared" si="1"/>
        <v>0</v>
      </c>
      <c r="J37" s="404">
        <f>SUM('5.a sz. mell. '!F37+'5.b. sz. mell.'!F37)</f>
        <v>0</v>
      </c>
    </row>
    <row r="38" spans="1:13" s="96" customFormat="1" ht="15" customHeight="1" thickBot="1" x14ac:dyDescent="0.25">
      <c r="A38" s="1210"/>
      <c r="B38" s="1160" t="s">
        <v>37</v>
      </c>
      <c r="C38" s="1144" t="s">
        <v>1497</v>
      </c>
      <c r="D38" s="402"/>
      <c r="E38" s="401">
        <f>'5.1. sz. mell. '!E27+'5.2. sz. mell.  '!E35+'5.3 sz. mell'!E38+'5.4. sz mell'!E38+'5.5. sz. mell.  '!E35+'5.6. sz. mell'!E35+'5.7. sz. mell.'!E35+'5.8. sz. mell.'!E38+'.....'!E28+'5.9. sz. mell.'!E38+'5.10 sz. mell '!E38</f>
        <v>0</v>
      </c>
      <c r="F38" s="401">
        <f>'5.1. sz. mell. '!F27+'5.2. sz. mell.  '!F35+'5.3 sz. mell'!F38+'5.4. sz mell'!F38+'5.5. sz. mell.  '!F35+'5.6. sz. mell'!F35+'5.7. sz. mell.'!F35+'5.8. sz. mell.'!F38+'.....'!F28+'5.9. sz. mell.'!F38+'5.10 sz. mell '!F38</f>
        <v>0</v>
      </c>
      <c r="G38" s="402"/>
      <c r="I38" s="404">
        <f t="shared" si="1"/>
        <v>0</v>
      </c>
      <c r="J38" s="404">
        <f>SUM('5.a sz. mell. '!F38+'5.b. sz. mell.'!F38)</f>
        <v>0</v>
      </c>
    </row>
    <row r="39" spans="1:13" s="99" customFormat="1" ht="15" customHeight="1" thickBot="1" x14ac:dyDescent="0.25">
      <c r="A39" s="116"/>
      <c r="B39" s="1160" t="s">
        <v>1499</v>
      </c>
      <c r="C39" s="1144" t="s">
        <v>1498</v>
      </c>
      <c r="D39" s="353">
        <f>SUM('.'!D29+'..'!D27+'...'!D29+'.-'!D27+'.-.'!D27+','!D27+'5.1. sz. mell. '!D28+'5.2. sz. mell.  '!D36+'5.3 sz. mell'!D39+'5.4. sz mell'!D39+'5.5. sz. mell.  '!D43+'5.6. sz. mell'!D43+'5.7. sz. mell.'!D43+'5.8. sz. mell.'!D39+'.....'!D29+'5.9. sz. mell.'!D39+'5.10 sz. mell '!D39)</f>
        <v>221345</v>
      </c>
      <c r="E39" s="353">
        <f>SUM('.'!E29+'..'!E27+'...'!E29+'.-'!E27+'.-.'!E27+','!E27+'5.1. sz. mell. '!E28+'5.2. sz. mell.  '!E36+'5.3 sz. mell'!E39+'5.4. sz mell'!E39+'5.5. sz. mell.  '!E43+'5.6. sz. mell'!E43+'5.7. sz. mell.'!E43+'5.8. sz. mell.'!E39+'.....'!E29+'5.9. sz. mell.'!E39+'5.10 sz. mell '!E39)</f>
        <v>265646</v>
      </c>
      <c r="F39" s="1424">
        <f>SUM('5.1. sz. mell. '!F41+'5.2. sz. mell.  '!F41+'5.3 sz. mell'!F39+'5.4. sz mell'!F39+'5.5. sz. mell.  '!F43+'5.6. sz. mell'!F43+'5.7. sz. mell.'!F43+'5.8. sz. mell.'!F39+'5.9. sz. mell.'!F39+'5.10 sz. mell '!F39)</f>
        <v>758444</v>
      </c>
      <c r="G39" s="353">
        <f t="shared" si="2"/>
        <v>285.50928679520865</v>
      </c>
      <c r="I39" s="404">
        <f>SUM(F39-J39)</f>
        <v>0</v>
      </c>
      <c r="J39" s="404">
        <f>SUM('5.a sz. mell. '!F39+'5.b. sz. mell.'!F39)</f>
        <v>758444</v>
      </c>
      <c r="M39" s="110">
        <f>SUM(F40:F41)</f>
        <v>758444</v>
      </c>
    </row>
    <row r="40" spans="1:13" s="99" customFormat="1" ht="15" customHeight="1" thickBot="1" x14ac:dyDescent="0.25">
      <c r="A40" s="1421"/>
      <c r="B40" s="1413" t="s">
        <v>1777</v>
      </c>
      <c r="C40" s="1414" t="s">
        <v>1775</v>
      </c>
      <c r="D40" s="1224"/>
      <c r="E40" s="1224"/>
      <c r="F40" s="1423">
        <f>SUM('5.1. sz. mell. '!F42+'5.2. sz. mell.  '!F42+'5.3 sz. mell'!F40+'5.4. sz mell'!F40+'5.5. sz. mell.  '!F44+'5.6. sz. mell'!F44+'5.7. sz. mell.'!F44+'5.8. sz. mell.'!F40+'5.9. sz. mell.'!F40)</f>
        <v>430815</v>
      </c>
      <c r="G40" s="1422"/>
      <c r="I40" s="404">
        <f t="shared" ref="I40:I41" si="5">SUM(F40-J40)</f>
        <v>0</v>
      </c>
      <c r="J40" s="404">
        <f>SUM('5.a sz. mell. '!F40+'5.b. sz. mell.'!F40)</f>
        <v>430815</v>
      </c>
    </row>
    <row r="41" spans="1:13" s="99" customFormat="1" ht="15" customHeight="1" thickBot="1" x14ac:dyDescent="0.25">
      <c r="A41" s="1421"/>
      <c r="B41" s="1417" t="s">
        <v>1778</v>
      </c>
      <c r="C41" s="1418" t="s">
        <v>1776</v>
      </c>
      <c r="D41" s="1224"/>
      <c r="E41" s="1224"/>
      <c r="F41" s="1423">
        <f>SUM('5.1. sz. mell. '!F43+'5.2. sz. mell.  '!F43+'5.3 sz. mell'!F41+'5.4. sz mell'!F41+'5.5. sz. mell.  '!F45+'5.6. sz. mell'!F45+'5.7. sz. mell.'!F45+'5.8. sz. mell.'!F41+'5.9. sz. mell.'!F41+'5.10 sz. mell '!F39)</f>
        <v>327629</v>
      </c>
      <c r="G41" s="1422"/>
      <c r="I41" s="404">
        <f t="shared" si="5"/>
        <v>0</v>
      </c>
      <c r="J41" s="404">
        <f>SUM('5.a sz. mell. '!F41+'5.b. sz. mell.'!F41)</f>
        <v>327629</v>
      </c>
    </row>
    <row r="42" spans="1:13" s="99" customFormat="1" ht="15" hidden="1" customHeight="1" thickBot="1" x14ac:dyDescent="0.3">
      <c r="A42" s="116" t="s">
        <v>38</v>
      </c>
      <c r="B42" s="117"/>
      <c r="C42" s="1220" t="s">
        <v>542</v>
      </c>
      <c r="D42" s="119"/>
      <c r="E42" s="119"/>
      <c r="F42" s="119"/>
      <c r="G42" s="119"/>
      <c r="I42" s="404">
        <f t="shared" si="1"/>
        <v>0</v>
      </c>
      <c r="J42" s="404">
        <f>SUM('5.a sz. mell. '!F42+'5.b. sz. mell.'!F42)</f>
        <v>0</v>
      </c>
    </row>
    <row r="43" spans="1:13" s="99" customFormat="1" ht="15" customHeight="1" thickBot="1" x14ac:dyDescent="0.25">
      <c r="A43" s="150" t="s">
        <v>88</v>
      </c>
      <c r="B43" s="151"/>
      <c r="C43" s="354" t="s">
        <v>510</v>
      </c>
      <c r="D43" s="152">
        <f>SUM(D8,D19,D28,D32,D36,D39)</f>
        <v>1281024</v>
      </c>
      <c r="E43" s="152" t="e">
        <f>SUM(E8,E19,E28,E32,E36,E39)</f>
        <v>#REF!</v>
      </c>
      <c r="F43" s="152">
        <f>SUM(F8,F19,F28,F32,F36,F39,F42)</f>
        <v>1451255</v>
      </c>
      <c r="G43" s="152" t="e">
        <f t="shared" si="2"/>
        <v>#REF!</v>
      </c>
      <c r="I43" s="404">
        <f t="shared" si="1"/>
        <v>0</v>
      </c>
      <c r="J43" s="404">
        <f>SUM('5.a sz. mell. '!F43+'5.b. sz. mell.'!F43)</f>
        <v>1451255</v>
      </c>
    </row>
    <row r="44" spans="1:13" s="99" customFormat="1" ht="9" customHeight="1" thickBot="1" x14ac:dyDescent="0.25">
      <c r="A44" s="336"/>
      <c r="B44" s="336"/>
      <c r="C44" s="355"/>
      <c r="D44" s="155"/>
      <c r="E44" s="155"/>
      <c r="F44" s="155"/>
      <c r="G44" s="155"/>
      <c r="I44" s="404">
        <f t="shared" si="1"/>
        <v>0</v>
      </c>
      <c r="J44" s="404">
        <f>SUM('5.a sz. mell. '!F44+'5.b. sz. mell.'!F44)</f>
        <v>0</v>
      </c>
    </row>
    <row r="45" spans="1:13" s="89" customFormat="1" ht="15" customHeight="1" thickBot="1" x14ac:dyDescent="0.25">
      <c r="A45" s="150"/>
      <c r="B45" s="151"/>
      <c r="C45" s="387" t="s">
        <v>82</v>
      </c>
      <c r="D45" s="152"/>
      <c r="E45" s="152"/>
      <c r="F45" s="152"/>
      <c r="G45" s="152"/>
      <c r="I45" s="404">
        <f t="shared" si="1"/>
        <v>0</v>
      </c>
      <c r="J45" s="404">
        <f>SUM('5.a sz. mell. '!F45+'5.b. sz. mell.'!F45)</f>
        <v>0</v>
      </c>
    </row>
    <row r="46" spans="1:13" s="125" customFormat="1" ht="15" customHeight="1" thickBot="1" x14ac:dyDescent="0.25">
      <c r="A46" s="93" t="s">
        <v>2</v>
      </c>
      <c r="B46" s="2"/>
      <c r="C46" s="10" t="s">
        <v>49</v>
      </c>
      <c r="D46" s="36">
        <f>SUM(D47+D48+D49+D51)</f>
        <v>1341706</v>
      </c>
      <c r="E46" s="36" t="e">
        <f>SUM(E47+E48+E49+E51+#REF!)</f>
        <v>#REF!</v>
      </c>
      <c r="F46" s="36">
        <f>SUM(F47+F48+F49+F51)</f>
        <v>1444246</v>
      </c>
      <c r="G46" s="36" t="e">
        <f t="shared" si="2"/>
        <v>#REF!</v>
      </c>
      <c r="I46" s="404">
        <f t="shared" si="1"/>
        <v>0</v>
      </c>
      <c r="J46" s="404">
        <f>SUM('5.a sz. mell. '!F46+'5.b. sz. mell.'!F46)</f>
        <v>1444246</v>
      </c>
    </row>
    <row r="47" spans="1:13" ht="15" customHeight="1" thickBot="1" x14ac:dyDescent="0.25">
      <c r="A47" s="113"/>
      <c r="B47" s="124" t="s">
        <v>50</v>
      </c>
      <c r="C47" s="7" t="s">
        <v>51</v>
      </c>
      <c r="D47" s="107">
        <f>SUM('.'!D35+'..'!D33+'...'!D35+'.-'!D33+'.-.'!D33+','!D33+'5.1. sz. mell. '!D34+'5.2. sz. mell.  '!D48+'5.3 sz. mell'!D47+'5.4. sz mell'!D47+'5.5. sz. mell.  '!D51+'5.6. sz. mell'!D51+'5.7. sz. mell.'!D51+'5.8. sz. mell.'!D46+'.....'!D35+'5.9. sz. mell.'!D46+'5.10 sz. mell '!D45)</f>
        <v>501735</v>
      </c>
      <c r="E47" s="107">
        <f>SUM('.'!E35+'..'!E33+'...'!E35+'.-'!E33+'.-.'!E33+','!E33+'5.1. sz. mell. '!E34+'5.2. sz. mell.  '!E48+'5.3 sz. mell'!E47+'5.4. sz mell'!E47+'5.5. sz. mell.  '!E51+'5.6. sz. mell'!E51+'5.7. sz. mell.'!E51+'5.8. sz. mell.'!E46+'.....'!E35+'5.9. sz. mell.'!E46+'5.10 sz. mell '!E45)</f>
        <v>544278</v>
      </c>
      <c r="F47" s="107">
        <f>SUM('5.1. sz. mell. '!F48+'5.2. sz. mell.  '!F48+'5.3 sz. mell'!F47+'5.4. sz mell'!F47+'5.5. sz. mell.  '!F51+'5.6. sz. mell'!F51+'5.7. sz. mell.'!F51+'5.8. sz. mell.'!F46+'5.9. sz. mell.'!F46+'5.10 sz. mell '!F45)</f>
        <v>587479</v>
      </c>
      <c r="G47" s="107">
        <f t="shared" si="2"/>
        <v>107.93730409827332</v>
      </c>
      <c r="I47" s="404">
        <f t="shared" si="1"/>
        <v>0</v>
      </c>
      <c r="J47" s="404">
        <f>SUM('5.a sz. mell. '!F47+'5.b. sz. mell.'!F47)</f>
        <v>587479</v>
      </c>
    </row>
    <row r="48" spans="1:13" ht="15" customHeight="1" thickBot="1" x14ac:dyDescent="0.25">
      <c r="A48" s="97"/>
      <c r="B48" s="109" t="s">
        <v>52</v>
      </c>
      <c r="C48" s="3" t="s">
        <v>53</v>
      </c>
      <c r="D48" s="27">
        <f>SUM('.'!D37+'..'!D34+'...'!D37+'.-'!D34+'.-.'!D34+','!D34+'5.1. sz. mell. '!D36+'5.2. sz. mell.  '!D50+'5.3 sz. mell'!D48+'5.4. sz mell'!D48+'5.5. sz. mell.  '!D52+'5.6. sz. mell'!D52+'5.7. sz. mell.'!D52+'5.8. sz. mell.'!D47+'.....'!D36+'5.9. sz. mell.'!D47+'5.10 sz. mell '!D46)</f>
        <v>143140</v>
      </c>
      <c r="E48" s="27">
        <f>SUM('.'!E37+'..'!E34+'...'!E37+'.-'!E34+'.-.'!E34+','!E34+'5.1. sz. mell. '!E36+'5.2. sz. mell.  '!E50+'5.3 sz. mell'!E48+'5.4. sz mell'!E48+'5.5. sz. mell.  '!E52+'5.6. sz. mell'!E52+'5.7. sz. mell.'!E52+'5.8. sz. mell.'!E47+'.....'!E36+'5.9. sz. mell.'!E47+'5.10 sz. mell '!E46)</f>
        <v>149845</v>
      </c>
      <c r="F48" s="107">
        <f>SUM('5.1. sz. mell. '!F50+'5.2. sz. mell.  '!F50+'5.3 sz. mell'!F48+'5.4. sz mell'!F48+'5.5. sz. mell.  '!F52+'5.6. sz. mell'!F52+'5.7. sz. mell.'!F52+'5.8. sz. mell.'!F47+'5.9. sz. mell.'!F47+'5.10 sz. mell '!F46)</f>
        <v>157746</v>
      </c>
      <c r="G48" s="27">
        <f t="shared" si="2"/>
        <v>105.27278187460377</v>
      </c>
      <c r="I48" s="404">
        <f t="shared" si="1"/>
        <v>0</v>
      </c>
      <c r="J48" s="404">
        <f>SUM('5.a sz. mell. '!F48+'5.b. sz. mell.'!F48)</f>
        <v>157746</v>
      </c>
    </row>
    <row r="49" spans="1:10" ht="15" customHeight="1" x14ac:dyDescent="0.2">
      <c r="A49" s="97"/>
      <c r="B49" s="109" t="s">
        <v>54</v>
      </c>
      <c r="C49" s="3" t="s">
        <v>55</v>
      </c>
      <c r="D49" s="27">
        <f>SUM('.'!D39+'..'!D35+'...'!D39+'.-'!D35+'.-.'!D35+','!D35+'5.1. sz. mell. '!D38+'5.2. sz. mell.  '!D52+'5.3 sz. mell'!D49+'5.4. sz mell'!D49+'5.5. sz. mell.  '!D53+'5.6. sz. mell'!D53+'5.7. sz. mell.'!D53+'5.8. sz. mell.'!D48+'.....'!D37+'5.9. sz. mell.'!D48+'5.10 sz. mell '!D47)</f>
        <v>686845</v>
      </c>
      <c r="E49" s="27">
        <f>SUM('.'!E39+'..'!E35+'...'!E39+'.-'!E35+'.-.'!E35+','!E35+'5.1. sz. mell. '!E38+'5.2. sz. mell.  '!E52+'5.3 sz. mell'!E49+'5.4. sz mell'!E49+'5.5. sz. mell.  '!E53+'5.6. sz. mell'!E53+'5.7. sz. mell.'!E53+'5.8. sz. mell.'!E48+'.....'!E37+'5.9. sz. mell.'!E48+'5.10 sz. mell '!E47)</f>
        <v>756293</v>
      </c>
      <c r="F49" s="107">
        <f>SUM('5.1. sz. mell. '!F52+'5.2. sz. mell.  '!F52+'5.3 sz. mell'!F49+'5.4. sz mell'!F49+'5.5. sz. mell.  '!F53+'5.6. sz. mell'!F53+'5.7. sz. mell.'!F53+'5.8. sz. mell.'!F48+'5.9. sz. mell.'!F48+'5.10 sz. mell '!F47)</f>
        <v>699021</v>
      </c>
      <c r="G49" s="27">
        <f t="shared" si="2"/>
        <v>92.427273556677108</v>
      </c>
      <c r="I49" s="404">
        <f t="shared" si="1"/>
        <v>0</v>
      </c>
      <c r="J49" s="404">
        <f>SUM('5.a sz. mell. '!F49+'5.b. sz. mell.'!F49)</f>
        <v>699021</v>
      </c>
    </row>
    <row r="50" spans="1:10" ht="15" customHeight="1" x14ac:dyDescent="0.2">
      <c r="A50" s="97"/>
      <c r="B50" s="109" t="s">
        <v>56</v>
      </c>
      <c r="C50" s="3" t="s">
        <v>57</v>
      </c>
      <c r="D50" s="27"/>
      <c r="E50" s="27"/>
      <c r="F50" s="27"/>
      <c r="G50" s="27"/>
      <c r="I50" s="404">
        <f t="shared" si="1"/>
        <v>0</v>
      </c>
      <c r="J50" s="404">
        <f>SUM('5.a sz. mell. '!F50+'5.b. sz. mell.'!F50)</f>
        <v>0</v>
      </c>
    </row>
    <row r="51" spans="1:10" ht="15" customHeight="1" thickBot="1" x14ac:dyDescent="0.25">
      <c r="A51" s="97"/>
      <c r="B51" s="109" t="s">
        <v>58</v>
      </c>
      <c r="C51" s="3" t="s">
        <v>59</v>
      </c>
      <c r="D51" s="27">
        <f>SUM('.....'!D39+'5.9. sz. mell.'!D50)</f>
        <v>9986</v>
      </c>
      <c r="E51" s="27">
        <f>SUM('.....'!E39+'5.9. sz. mell.'!E50)</f>
        <v>9986</v>
      </c>
      <c r="F51" s="27">
        <f>SUM('.....'!F39+'5.9. sz. mell.'!F50)</f>
        <v>0</v>
      </c>
      <c r="G51" s="27">
        <f t="shared" si="2"/>
        <v>0</v>
      </c>
      <c r="I51" s="404">
        <f t="shared" si="1"/>
        <v>0</v>
      </c>
      <c r="J51" s="404">
        <f>SUM('5.a sz. mell. '!F51+'5.b. sz. mell.'!F51)</f>
        <v>0</v>
      </c>
    </row>
    <row r="52" spans="1:10" ht="15" customHeight="1" thickBot="1" x14ac:dyDescent="0.25">
      <c r="A52" s="93" t="s">
        <v>3</v>
      </c>
      <c r="B52" s="2"/>
      <c r="C52" s="10" t="s">
        <v>1513</v>
      </c>
      <c r="D52" s="36">
        <f>SUM(D53:D55)</f>
        <v>0</v>
      </c>
      <c r="E52" s="36">
        <f>SUM(E53:E55)</f>
        <v>9536</v>
      </c>
      <c r="F52" s="36">
        <f>SUM(F53:F55)</f>
        <v>7009</v>
      </c>
      <c r="G52" s="36">
        <f t="shared" si="2"/>
        <v>73.500419463087255</v>
      </c>
      <c r="I52" s="404">
        <f t="shared" si="1"/>
        <v>0</v>
      </c>
      <c r="J52" s="404">
        <f>SUM('5.a sz. mell. '!F52+'5.b. sz. mell.'!F52)</f>
        <v>7009</v>
      </c>
    </row>
    <row r="53" spans="1:10" s="125" customFormat="1" ht="15" customHeight="1" x14ac:dyDescent="0.2">
      <c r="A53" s="113"/>
      <c r="B53" s="1165" t="s">
        <v>4</v>
      </c>
      <c r="C53" s="1151" t="s">
        <v>1173</v>
      </c>
      <c r="D53" s="22"/>
      <c r="E53" s="22">
        <f>'5.1. sz. mell. '!E45+'5.2. sz. mell.  '!E57+'5.3 sz. mell'!E53+'5.4. sz mell'!E53+'5.5. sz. mell.  '!E57+'5.6. sz. mell'!E57+'5.7. sz. mell.'!E58+'5.8. sz. mell.'!E52+'.....'!E41+'5.9. sz. mell.'!E52+'5.10 sz. mell '!E51</f>
        <v>9536</v>
      </c>
      <c r="F53" s="22">
        <f>SUM('5.1. sz. mell. '!F57+'5.2. sz. mell.  '!F57+'5.3 sz. mell'!F53+'5.4. sz mell'!F53+'5.5. sz. mell.  '!F57+'5.6. sz. mell'!F57+'5.7. sz. mell.'!F58+'5.8. sz. mell.'!F52+'5.9. sz. mell.'!F52+'5.10 sz. mell '!F51)</f>
        <v>7009</v>
      </c>
      <c r="G53" s="22">
        <f t="shared" si="2"/>
        <v>73.500419463087255</v>
      </c>
      <c r="I53" s="404">
        <f t="shared" si="1"/>
        <v>0</v>
      </c>
      <c r="J53" s="404">
        <f>SUM('5.a sz. mell. '!F53+'5.b. sz. mell.'!F53)</f>
        <v>7009</v>
      </c>
    </row>
    <row r="54" spans="1:10" ht="15" customHeight="1" x14ac:dyDescent="0.2">
      <c r="A54" s="97"/>
      <c r="B54" s="1166" t="s">
        <v>6</v>
      </c>
      <c r="C54" s="1144" t="s">
        <v>64</v>
      </c>
      <c r="D54" s="27"/>
      <c r="E54" s="22">
        <f>'5.1. sz. mell. '!E46+'5.2. sz. mell.  '!E58+'5.3 sz. mell'!E54+'5.4. sz mell'!E54+'5.5. sz. mell.  '!E58+'5.6. sz. mell'!E58+'5.7. sz. mell.'!E59+'5.8. sz. mell.'!E53+'.....'!E42+'5.9. sz. mell.'!E53+'5.10 sz. mell '!E52</f>
        <v>0</v>
      </c>
      <c r="F54" s="22">
        <f>'5.1. sz. mell. '!F46+'5.2. sz. mell.  '!F58+'5.3 sz. mell'!F54+'5.4. sz mell'!F54+'5.5. sz. mell.  '!F58+'5.6. sz. mell'!F58+'5.7. sz. mell.'!F59+'5.8. sz. mell.'!F53+'.....'!F42+'5.9. sz. mell.'!F53+'5.10 sz. mell '!F52</f>
        <v>0</v>
      </c>
      <c r="G54" s="27" t="e">
        <f t="shared" si="2"/>
        <v>#DIV/0!</v>
      </c>
      <c r="I54" s="404">
        <f t="shared" si="1"/>
        <v>0</v>
      </c>
      <c r="J54" s="404">
        <f>SUM('5.a sz. mell. '!F54+'5.b. sz. mell.'!F54)</f>
        <v>0</v>
      </c>
    </row>
    <row r="55" spans="1:10" ht="18.75" customHeight="1" thickBot="1" x14ac:dyDescent="0.25">
      <c r="A55" s="97"/>
      <c r="B55" s="1166" t="s">
        <v>7</v>
      </c>
      <c r="C55" s="1144" t="s">
        <v>1500</v>
      </c>
      <c r="D55" s="27"/>
      <c r="E55" s="27"/>
      <c r="F55" s="27"/>
      <c r="G55" s="27"/>
      <c r="I55" s="404">
        <f t="shared" si="1"/>
        <v>0</v>
      </c>
      <c r="J55" s="404">
        <f>SUM('5.a sz. mell. '!F55+'5.b. sz. mell.'!F55)</f>
        <v>0</v>
      </c>
    </row>
    <row r="56" spans="1:10" ht="15" customHeight="1" thickBot="1" x14ac:dyDescent="0.25">
      <c r="A56" s="93" t="s">
        <v>12</v>
      </c>
      <c r="B56" s="2"/>
      <c r="C56" s="10" t="s">
        <v>514</v>
      </c>
      <c r="D56" s="128"/>
      <c r="E56" s="128"/>
      <c r="F56" s="128"/>
      <c r="G56" s="128"/>
      <c r="I56" s="404">
        <f t="shared" si="1"/>
        <v>0</v>
      </c>
      <c r="J56" s="404">
        <f>SUM('5.a sz. mell. '!F56+'5.b. sz. mell.'!F56)</f>
        <v>0</v>
      </c>
    </row>
    <row r="57" spans="1:10" s="99" customFormat="1" ht="15" hidden="1" customHeight="1" thickBot="1" x14ac:dyDescent="0.25">
      <c r="A57" s="93"/>
      <c r="B57" s="2"/>
      <c r="C57" s="1221" t="s">
        <v>515</v>
      </c>
      <c r="D57" s="119"/>
      <c r="E57" s="119"/>
      <c r="F57" s="119"/>
      <c r="G57" s="119"/>
      <c r="I57" s="404">
        <f t="shared" si="1"/>
        <v>0</v>
      </c>
      <c r="J57" s="404">
        <f>SUM('5.a sz. mell. '!F57+'5.b. sz. mell.'!F57)</f>
        <v>0</v>
      </c>
    </row>
    <row r="58" spans="1:10" ht="15" customHeight="1" thickBot="1" x14ac:dyDescent="0.25">
      <c r="A58" s="150" t="s">
        <v>68</v>
      </c>
      <c r="B58" s="151"/>
      <c r="C58" s="354" t="s">
        <v>516</v>
      </c>
      <c r="D58" s="152">
        <f>+D46+D52+D56</f>
        <v>1341706</v>
      </c>
      <c r="E58" s="152" t="e">
        <f>+E46+E52+E56</f>
        <v>#REF!</v>
      </c>
      <c r="F58" s="152">
        <f>+F46+F52+F56+F57</f>
        <v>1451255</v>
      </c>
      <c r="G58" s="152" t="e">
        <f t="shared" si="2"/>
        <v>#REF!</v>
      </c>
      <c r="I58" s="404">
        <f t="shared" si="1"/>
        <v>0</v>
      </c>
      <c r="J58" s="404">
        <f>SUM('5.a sz. mell. '!F58+'5.b. sz. mell.'!F58)</f>
        <v>1451255</v>
      </c>
    </row>
    <row r="59" spans="1:10" ht="15" customHeight="1" thickBot="1" x14ac:dyDescent="0.25">
      <c r="A59" s="133" t="s">
        <v>136</v>
      </c>
      <c r="B59" s="134"/>
      <c r="C59" s="135"/>
      <c r="D59" s="136">
        <f>SUM('.'!D52+'..'!D47+'...'!D52+'.-'!D47+'.-.'!D47+','!D47+'5.1. sz. mell. '!D53+'5.2. sz. mell.  '!D65+'5.3 sz. mell'!D61+'5.4. sz mell'!D61+'5.5. sz. mell.  '!D65+'5.6. sz. mell'!D65+'5.7. sz. mell.'!D68+'5.8. sz. mell.'!D57+'.....'!D49+'5.9. sz. mell.'!D57+'5.10 sz. mell '!D57)</f>
        <v>247.5</v>
      </c>
      <c r="E59" s="136">
        <f>SUM('.'!E52+'..'!E47+'...'!E52+'.-'!E47+'.-.'!E47+','!E47+'5.1. sz. mell. '!E53+'5.2. sz. mell.  '!E65+'5.3 sz. mell'!E61+'5.4. sz mell'!E61+'5.5. sz. mell.  '!E65+'5.6. sz. mell'!E65+'5.7. sz. mell.'!E68+'5.8. sz. mell.'!E57+'.....'!E49+'5.9. sz. mell.'!E57+'5.10 sz. mell '!E57)</f>
        <v>248.5</v>
      </c>
      <c r="F59" s="136">
        <f>SUM('5.1. sz. mell. '!F64+'5.2. sz. mell.  '!F65+'5.3 sz. mell'!F61+'5.4. sz mell'!F61+'5.5. sz. mell.  '!F65+'5.6. sz. mell'!F65+'5.7. sz. mell.'!F68+'5.8. sz. mell.'!F57+'5.9. sz. mell.'!F57+'5.10 sz. mell '!F57)</f>
        <v>249.75</v>
      </c>
      <c r="G59" s="136"/>
      <c r="H59" s="99"/>
      <c r="I59" s="404">
        <f t="shared" si="1"/>
        <v>68</v>
      </c>
      <c r="J59" s="404">
        <f>SUM('5.a sz. mell. '!F59+'5.b. sz. mell.'!F60)</f>
        <v>181.75</v>
      </c>
    </row>
    <row r="60" spans="1:10" ht="15" customHeight="1" thickBot="1" x14ac:dyDescent="0.25">
      <c r="A60" s="133" t="s">
        <v>137</v>
      </c>
      <c r="B60" s="134"/>
      <c r="C60" s="135"/>
      <c r="D60" s="167"/>
      <c r="E60" s="167"/>
      <c r="F60" s="167"/>
      <c r="G60" s="167"/>
      <c r="H60" s="99"/>
      <c r="I60" s="404">
        <f t="shared" si="1"/>
        <v>0</v>
      </c>
      <c r="J60" s="404">
        <f>SUM('5.a sz. mell. '!F60+'5.b. sz. mell.'!F61)</f>
        <v>0</v>
      </c>
    </row>
    <row r="61" spans="1:10" ht="15" customHeight="1" x14ac:dyDescent="0.2"/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5433070866141736" right="0.19685039370078741" top="0.51181102362204722" bottom="0.39370078740157483" header="0.23622047244094491" footer="0.15748031496062992"/>
  <pageSetup paperSize="9" scale="82" firstPageNumber="70" orientation="portrait" r:id="rId1"/>
  <headerFooter alignWithMargins="0">
    <oddFooter>&amp;C-&amp;P -</oddFooter>
  </headerFooter>
  <rowBreaks count="1" manualBreakCount="1">
    <brk id="43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1"/>
  <sheetViews>
    <sheetView view="pageBreakPreview" topLeftCell="A22" zoomScaleNormal="130" zoomScaleSheetLayoutView="100" workbookViewId="0">
      <selection activeCell="F41" sqref="F41"/>
    </sheetView>
  </sheetViews>
  <sheetFormatPr defaultRowHeight="12.75" x14ac:dyDescent="0.2"/>
  <cols>
    <col min="1" max="1" width="7.6640625" style="75" customWidth="1"/>
    <col min="2" max="2" width="9.6640625" style="76" customWidth="1"/>
    <col min="3" max="3" width="61.5" style="76" customWidth="1"/>
    <col min="4" max="4" width="15.5" style="76" hidden="1" customWidth="1"/>
    <col min="5" max="5" width="14.5" style="76" hidden="1" customWidth="1"/>
    <col min="6" max="6" width="19" style="76" customWidth="1"/>
    <col min="7" max="7" width="9.6640625" style="76" hidden="1" customWidth="1"/>
    <col min="8" max="9" width="9.33203125" style="76"/>
    <col min="10" max="10" width="9.83203125" style="76" customWidth="1"/>
    <col min="11" max="16384" width="9.33203125" style="76"/>
  </cols>
  <sheetData>
    <row r="1" spans="1:7" s="326" customFormat="1" ht="14.25" customHeight="1" thickBot="1" x14ac:dyDescent="0.25">
      <c r="A1" s="323"/>
      <c r="B1" s="324"/>
      <c r="C1" s="325"/>
      <c r="D1" s="1552" t="s">
        <v>1794</v>
      </c>
      <c r="E1" s="1552"/>
      <c r="F1" s="1552"/>
      <c r="G1" s="1552"/>
    </row>
    <row r="2" spans="1:7" s="79" customFormat="1" ht="31.5" customHeight="1" x14ac:dyDescent="0.2">
      <c r="A2" s="1554" t="s">
        <v>495</v>
      </c>
      <c r="B2" s="1554"/>
      <c r="C2" s="77" t="s">
        <v>534</v>
      </c>
      <c r="D2" s="1523" t="s">
        <v>1024</v>
      </c>
      <c r="E2" s="343"/>
      <c r="F2" s="1523" t="s">
        <v>1420</v>
      </c>
      <c r="G2" s="343"/>
    </row>
    <row r="3" spans="1:7" s="79" customFormat="1" ht="30" customHeight="1" thickBot="1" x14ac:dyDescent="0.25">
      <c r="A3" s="1555" t="s">
        <v>122</v>
      </c>
      <c r="B3" s="1555"/>
      <c r="C3" s="80" t="s">
        <v>1635</v>
      </c>
      <c r="D3" s="1524"/>
      <c r="E3" s="327"/>
      <c r="F3" s="1524"/>
      <c r="G3" s="327"/>
    </row>
    <row r="4" spans="1:7" s="83" customFormat="1" ht="13.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ht="30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89" customFormat="1" ht="12.9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.9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238143</v>
      </c>
      <c r="E8" s="141">
        <f>SUM(E9:E18)</f>
        <v>238160</v>
      </c>
      <c r="F8" s="141">
        <f>SUM(F9:F18)</f>
        <v>262814</v>
      </c>
      <c r="G8" s="141">
        <f>F8/E8*100</f>
        <v>110.35186429291232</v>
      </c>
    </row>
    <row r="9" spans="1:7" s="96" customFormat="1" ht="15" customHeight="1" thickBot="1" x14ac:dyDescent="0.25">
      <c r="A9" s="1133"/>
      <c r="B9" s="98" t="s">
        <v>50</v>
      </c>
      <c r="C9" s="1143" t="s">
        <v>1472</v>
      </c>
      <c r="D9" s="144">
        <f>SUM('.'!D9+'..'!D9+'...'!D9+'.-'!D9+'.-.'!D9+','!D9+'5.1. sz. mell. '!D9+'5.2. sz. mell.  '!D9+'5.3 sz. mell'!D9+'5.4. sz mell'!D9+'5.5. sz. mell.  '!D9+'5.6. sz. mell'!D9+'5.7. sz. mell.'!D9+'5.8. sz. mell.'!D9+'.....'!D9+'5.9. sz. mell.'!D9+'5.10 sz. mell '!D9)</f>
        <v>0</v>
      </c>
      <c r="E9" s="144">
        <f>SUM('.'!E9+'..'!E9+'...'!E9+'.-'!E9+'.-.'!E9+','!E9+'5.1. sz. mell. '!E9+'5.2. sz. mell.  '!E9+'5.3 sz. mell'!E9+'5.4. sz mell'!E9+'5.5. sz. mell.  '!E9+'5.6. sz. mell'!E9+'5.7. sz. mell.'!E9+'5.8. sz. mell.'!E9+'.....'!E9+'5.9. sz. mell.'!E9+'5.10 sz. mell '!E9)</f>
        <v>0</v>
      </c>
      <c r="F9" s="144">
        <f>SUM('5.1.a. sz. mell.'!F9+'5.2.a. sz. mell.'!F9+'5.3.a. sz. mell'!F9+'5.4.a. sz mell'!F9+'5.5.a. sz. mell.'!F9+'5.6.a. sz. mell'!F9+'5.7.a. sz. mell.'!F9+'5.8.a. sz. mell.'!F9+'5.9.a. sz. mell'!F9+'5.10.a.sz. mell'!F9)</f>
        <v>0</v>
      </c>
      <c r="G9" s="144"/>
    </row>
    <row r="10" spans="1:7" s="96" customFormat="1" ht="15" customHeight="1" thickBot="1" x14ac:dyDescent="0.25">
      <c r="A10" s="97"/>
      <c r="B10" s="98" t="s">
        <v>52</v>
      </c>
      <c r="C10" s="1144" t="s">
        <v>1473</v>
      </c>
      <c r="D10" s="142">
        <f>SUM('.'!D10+'..'!D10+'...'!D10+'.-'!D10+'.-.'!D10+','!D10+'5.1. sz. mell. '!D10+'5.2. sz. mell.  '!D10+'5.3 sz. mell'!D10+'5.4. sz mell'!D10+'5.5. sz. mell.  '!D10+'5.6. sz. mell'!D10+'5.7. sz. mell.'!D10+'5.8. sz. mell.'!D10+'.....'!D10+'5.9. sz. mell.'!D10+'5.10 sz. mell '!D10)</f>
        <v>184960</v>
      </c>
      <c r="E10" s="142">
        <f>SUM('.'!E10+'..'!E10+'...'!E10+'.-'!E10+'.-.'!E10+','!E10+'5.1. sz. mell. '!E10+'5.2. sz. mell.  '!E10+'5.3 sz. mell'!E10+'5.4. sz mell'!E10+'5.5. sz. mell.  '!E10+'5.6. sz. mell'!E10+'5.7. sz. mell.'!E10+'5.8. sz. mell.'!E10+'.....'!E10+'5.9. sz. mell.'!E10+'5.10 sz. mell '!E10)</f>
        <v>184960</v>
      </c>
      <c r="F10" s="144">
        <f>SUM('5.1.a. sz. mell.'!F10+'5.2.a. sz. mell.'!F10+'5.3.a. sz. mell'!F10+'5.4.a. sz mell'!F10+'5.5.a. sz. mell.'!F10+'5.6.a. sz. mell'!F10+'5.7.a. sz. mell.'!F10+'5.8.a. sz. mell.'!F10+'5.9.a. sz. mell'!F10+'5.10.a.sz. mell'!F10)</f>
        <v>198136</v>
      </c>
      <c r="G10" s="142">
        <f t="shared" ref="G10:G58" si="0">F10/E10*100</f>
        <v>107.12370242214533</v>
      </c>
    </row>
    <row r="11" spans="1:7" s="96" customFormat="1" ht="15" customHeight="1" thickBot="1" x14ac:dyDescent="0.25">
      <c r="A11" s="97"/>
      <c r="B11" s="98" t="s">
        <v>54</v>
      </c>
      <c r="C11" s="1144" t="s">
        <v>1474</v>
      </c>
      <c r="D11" s="142">
        <f>SUM('.'!D11+'..'!D11+'...'!D11+'.-'!D11+'.-.'!D11+','!D11+'5.1. sz. mell. '!D11+'5.2. sz. mell.  '!D11+'5.3 sz. mell'!D11+'5.4. sz mell'!D11+'5.5. sz. mell.  '!D11+'5.6. sz. mell'!D11+'5.7. sz. mell.'!D11+'5.8. sz. mell.'!D11+'.....'!D11+'5.9. sz. mell.'!D11+'5.10 sz. mell '!D11)</f>
        <v>4700</v>
      </c>
      <c r="E11" s="142">
        <f>SUM('.'!E11+'..'!E11+'...'!E11+'.-'!E11+'.-.'!E11+','!E11+'5.1. sz. mell. '!E11+'5.2. sz. mell.  '!E11+'5.3 sz. mell'!E11+'5.4. sz mell'!E11+'5.5. sz. mell.  '!E11+'5.6. sz. mell'!E11+'5.7. sz. mell.'!E11+'5.8. sz. mell.'!E11+'.....'!E11+'5.9. sz. mell.'!E11+'5.10 sz. mell '!E11)</f>
        <v>4700</v>
      </c>
      <c r="F11" s="144">
        <f>SUM('5.1.a. sz. mell.'!F11+'5.2.a. sz. mell.'!F11+'5.3.a. sz. mell'!F11+'5.4.a. sz mell'!F11+'5.5.a. sz. mell.'!F11+'5.6.a. sz. mell'!F11+'5.7.a. sz. mell.'!F11+'5.8.a. sz. mell.'!F11+'5.9.a. sz. mell'!F11+'5.10.a.sz. mell'!F11)</f>
        <v>4429</v>
      </c>
      <c r="G11" s="142">
        <f t="shared" si="0"/>
        <v>94.234042553191486</v>
      </c>
    </row>
    <row r="12" spans="1:7" s="96" customFormat="1" ht="15" customHeight="1" thickBot="1" x14ac:dyDescent="0.25">
      <c r="A12" s="97"/>
      <c r="B12" s="98" t="s">
        <v>56</v>
      </c>
      <c r="C12" s="1144" t="s">
        <v>1475</v>
      </c>
      <c r="D12" s="142">
        <f>SUM('.'!D12+'..'!D12+'...'!D12+'.-'!D12+'.-.'!D12+','!D12+'5.1. sz. mell. '!D12+'5.2. sz. mell.  '!D12+'5.3 sz. mell'!D12+'5.4. sz mell'!D12+'5.5. sz. mell.  '!D12+'5.6. sz. mell'!D12+'5.7. sz. mell.'!D12+'5.8. sz. mell.'!D12+'.....'!D12+'5.9. sz. mell.'!D12+'5.10 sz. mell '!D12)</f>
        <v>2571</v>
      </c>
      <c r="E12" s="142">
        <f>SUM('.'!E12+'..'!E12+'...'!E12+'.-'!E12+'.-.'!E12+','!E12+'5.1. sz. mell. '!E12+'5.2. sz. mell.  '!E12+'5.3 sz. mell'!E12+'5.4. sz mell'!E12+'5.5. sz. mell.  '!E12+'5.6. sz. mell'!E12+'5.7. sz. mell.'!E12+'5.8. sz. mell.'!E12+'.....'!E12+'5.9. sz. mell.'!E12+'5.10 sz. mell '!E12)</f>
        <v>2571</v>
      </c>
      <c r="F12" s="144">
        <f>SUM('5.1.a. sz. mell.'!F12+'5.2.a. sz. mell.'!F12+'5.3.a. sz. mell'!F12+'5.4.a. sz mell'!F12+'5.5.a. sz. mell.'!F12+'5.6.a. sz. mell'!F12+'5.7.a. sz. mell.'!F12+'5.8.a. sz. mell.'!F12+'5.9.a. sz. mell'!F12+'5.10.a.sz. mell'!F12)</f>
        <v>6456</v>
      </c>
      <c r="G12" s="142"/>
    </row>
    <row r="13" spans="1:7" s="96" customFormat="1" ht="15" customHeight="1" thickBot="1" x14ac:dyDescent="0.25">
      <c r="A13" s="97"/>
      <c r="B13" s="98" t="s">
        <v>227</v>
      </c>
      <c r="C13" s="5" t="s">
        <v>1476</v>
      </c>
      <c r="D13" s="142">
        <f>SUM('.'!D13+'..'!D13+'...'!D13+'.-'!D13+'.-.'!D13+','!D13+'5.1. sz. mell. '!D13+'5.2. sz. mell.  '!D13+'5.3 sz. mell'!D13+'5.4. sz mell'!D13+'5.5. sz. mell.  '!D13+'5.6. sz. mell'!D13+'5.7. sz. mell.'!D13+'5.8. sz. mell.'!D13+'.....'!D13+'5.9. sz. mell.'!D13+'5.10 sz. mell '!D13)</f>
        <v>907</v>
      </c>
      <c r="E13" s="142">
        <f>SUM('.'!E13+'..'!E13+'...'!E13+'.-'!E13+'.-.'!E13+','!E13+'5.1. sz. mell. '!E13+'5.2. sz. mell.  '!E13+'5.3 sz. mell'!E13+'5.4. sz mell'!E13+'5.5. sz. mell.  '!E13+'5.6. sz. mell'!E13+'5.7. sz. mell.'!E13+'5.8. sz. mell.'!E13+'.....'!E13+'5.9. sz. mell.'!E13+'5.10 sz. mell '!E13)</f>
        <v>907</v>
      </c>
      <c r="F13" s="144">
        <f>SUM('5.1.a. sz. mell.'!F13+'5.2.a. sz. mell.'!F13+'5.3.a. sz. mell'!F13+'5.4.a. sz mell'!F13+'5.5.a. sz. mell.'!F13+'5.6.a. sz. mell'!F13+'5.7.a. sz. mell.'!F13+'5.8.a. sz. mell.'!F13+'5.9.a. sz. mell'!F13+'5.10.a.sz. mell'!F13)</f>
        <v>907</v>
      </c>
      <c r="G13" s="142">
        <f t="shared" si="0"/>
        <v>100</v>
      </c>
    </row>
    <row r="14" spans="1:7" s="96" customFormat="1" ht="15" customHeight="1" thickBot="1" x14ac:dyDescent="0.25">
      <c r="A14" s="100"/>
      <c r="B14" s="98" t="s">
        <v>228</v>
      </c>
      <c r="C14" s="1144" t="s">
        <v>1477</v>
      </c>
      <c r="D14" s="142">
        <f>SUM('.'!D14+'..'!D14+'...'!D14+'.-'!D14+'.-.'!D14+','!D14+'5.1. sz. mell. '!D14+'5.2. sz. mell.  '!D14+'5.3 sz. mell'!D14+'5.4. sz mell'!D14+'5.5. sz. mell.  '!D14+'5.6. sz. mell'!D14+'5.7. sz. mell.'!D14+'5.8. sz. mell.'!D14+'.....'!D14+'5.9. sz. mell.'!D14+'5.10 sz. mell '!D14)</f>
        <v>45005</v>
      </c>
      <c r="E14" s="142">
        <f>SUM('.'!E14+'..'!E14+'...'!E14+'.-'!E14+'.-.'!E14+','!E14+'5.1. sz. mell. '!E14+'5.2. sz. mell.  '!E14+'5.3 sz. mell'!E14+'5.4. sz mell'!E14+'5.5. sz. mell.  '!E14+'5.6. sz. mell'!E14+'5.7. sz. mell.'!E14+'5.8. sz. mell.'!E14+'.....'!E14+'5.9. sz. mell.'!E14+'5.10 sz. mell '!E14)</f>
        <v>45005</v>
      </c>
      <c r="F14" s="144">
        <f>SUM('5.1.a. sz. mell.'!F14+'5.2.a. sz. mell.'!F14+'5.3.a. sz. mell'!F14+'5.4.a. sz mell'!F14+'5.5.a. sz. mell.'!F14+'5.6.a. sz. mell'!F14+'5.7.a. sz. mell.'!F14+'5.8.a. sz. mell.'!F14+'5.9.a. sz. mell'!F14+'5.10.a.sz. mell'!F14)</f>
        <v>52886</v>
      </c>
      <c r="G14" s="142">
        <f t="shared" si="0"/>
        <v>117.51138762359739</v>
      </c>
    </row>
    <row r="15" spans="1:7" s="99" customFormat="1" ht="15" customHeight="1" thickBot="1" x14ac:dyDescent="0.25">
      <c r="A15" s="97"/>
      <c r="B15" s="98" t="s">
        <v>230</v>
      </c>
      <c r="C15" s="1144" t="s">
        <v>1478</v>
      </c>
      <c r="D15" s="142">
        <f>SUM('.'!D15+'..'!D15+'...'!D15+'.-'!D15+'.-.'!D15+','!D15+'5.1. sz. mell. '!D15+'5.2. sz. mell.  '!D16+'5.3 sz. mell'!D16+'5.4. sz mell'!D16+'5.5. sz. mell.  '!D16+'5.6. sz. mell'!D16+'5.7. sz. mell.'!D16+'5.8. sz. mell.'!D15+'.....'!D15+'5.9. sz. mell.'!D15+'5.10 sz. mell '!D15)</f>
        <v>0</v>
      </c>
      <c r="E15" s="142">
        <f>SUM('.'!E15+'..'!E15+'...'!E15+'.-'!E15+'.-.'!E15+','!E15+'5.1. sz. mell. '!E15+'5.2. sz. mell.  '!E16+'5.3 sz. mell'!E16+'5.4. sz mell'!E16+'5.5. sz. mell.  '!E16+'5.6. sz. mell'!E16+'5.7. sz. mell.'!E16+'5.8. sz. mell.'!E15+'.....'!E15+'5.9. sz. mell.'!E15+'5.10 sz. mell '!E15)</f>
        <v>17</v>
      </c>
      <c r="F15" s="144">
        <f>SUM('5.1.a. sz. mell.'!F16+'5.2.a. sz. mell.'!F16+'5.3.a. sz. mell'!F16+'5.4.a. sz mell'!F16+'5.5.a. sz. mell.'!F16+'5.6.a. sz. mell'!F16+'5.7.a. sz. mell.'!F16+'5.8.a. sz. mell.'!F15+'5.9.a. sz. mell'!F15+'5.10.a.sz. mell'!F15)</f>
        <v>0</v>
      </c>
      <c r="G15" s="142"/>
    </row>
    <row r="16" spans="1:7" s="99" customFormat="1" ht="15" customHeight="1" thickBot="1" x14ac:dyDescent="0.25">
      <c r="A16" s="1214"/>
      <c r="B16" s="105" t="s">
        <v>232</v>
      </c>
      <c r="C16" s="1144" t="s">
        <v>1479</v>
      </c>
      <c r="D16" s="1215"/>
      <c r="E16" s="1215"/>
      <c r="F16" s="1219"/>
      <c r="G16" s="1215"/>
    </row>
    <row r="17" spans="1:7" s="99" customFormat="1" ht="15" customHeight="1" thickBot="1" x14ac:dyDescent="0.25">
      <c r="A17" s="1214"/>
      <c r="B17" s="1146" t="s">
        <v>234</v>
      </c>
      <c r="C17" s="1149" t="s">
        <v>1480</v>
      </c>
      <c r="D17" s="1215"/>
      <c r="E17" s="1215"/>
      <c r="F17" s="1219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6">
        <f>SUM('.'!D16+'..'!D16+'...'!D16+'.-'!D16+'.-.'!D16+','!D16+'5.1. sz. mell. '!D16+'5.2. sz. mell.  '!D18+'5.3 sz. mell'!D18+'5.4. sz mell'!D18+'5.5. sz. mell.  '!D18+'5.6. sz. mell'!D18+'5.7. sz. mell.'!D18+'5.8. sz. mell.'!D18+'.....'!D16+'5.9. sz. mell.'!D18+'5.10 sz. mell '!D18)</f>
        <v>0</v>
      </c>
      <c r="E18" s="146">
        <f>SUM('.'!E16+'..'!E16+'...'!E16+'.-'!E16+'.-.'!E16+','!E16+'5.1. sz. mell. '!E16+'5.2. sz. mell.  '!E18+'5.3 sz. mell'!E18+'5.4. sz mell'!E18+'5.5. sz. mell.  '!E18+'5.6. sz. mell'!E18+'5.7. sz. mell.'!E18+'5.8. sz. mell.'!E18+'.....'!E16+'5.9. sz. mell.'!E18+'5.10 sz. mell '!E18)</f>
        <v>0</v>
      </c>
      <c r="F18" s="144">
        <f>SUM('5.1.a. sz. mell.'!F18+'5.2.a. sz. mell.'!F18+'5.3.a. sz. mell'!F18+'5.4.a. sz mell'!F18+'5.5.a. sz. mell.'!F18+'5.6.a. sz. mell'!F18+'5.7.a. sz. mell.'!F18+'5.8.a. sz. mell.'!F18+'5.9.a. sz. mell'!F18+'5.10.a.sz. mell'!F18)</f>
        <v>0</v>
      </c>
      <c r="G18" s="146" t="e">
        <f t="shared" si="0"/>
        <v>#DIV/0!</v>
      </c>
    </row>
    <row r="19" spans="1:7" s="96" customFormat="1" ht="30" customHeight="1" thickBot="1" x14ac:dyDescent="0.25">
      <c r="A19" s="1132" t="s">
        <v>3</v>
      </c>
      <c r="B19" s="94"/>
      <c r="C19" s="1142" t="s">
        <v>1482</v>
      </c>
      <c r="D19" s="141">
        <f>SUM(D20:D25)-D23</f>
        <v>821536</v>
      </c>
      <c r="E19" s="141" t="e">
        <f>SUM(E20:E25)-E23-#REF!</f>
        <v>#REF!</v>
      </c>
      <c r="F19" s="141">
        <f>SUM(F20+F24+F25)</f>
        <v>56286</v>
      </c>
      <c r="G19" s="141" t="e">
        <f t="shared" si="0"/>
        <v>#REF!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4"/>
      <c r="E20" s="144"/>
      <c r="F20" s="144">
        <f>SUM(F21:F22)</f>
        <v>56286</v>
      </c>
      <c r="G20" s="144" t="e">
        <f t="shared" si="0"/>
        <v>#DIV/0!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7">
        <f>SUM('5.10 sz. mell '!D21)</f>
        <v>442256</v>
      </c>
      <c r="E21" s="147">
        <f>SUM('5.10 sz. mell '!E21)</f>
        <v>442256</v>
      </c>
      <c r="F21" s="147">
        <f>SUM('5.10.a.sz. mell'!F21)</f>
        <v>56286</v>
      </c>
      <c r="G21" s="147">
        <f t="shared" si="0"/>
        <v>12.727017835823595</v>
      </c>
    </row>
    <row r="22" spans="1:7" s="99" customFormat="1" ht="35.25" customHeight="1" x14ac:dyDescent="0.2">
      <c r="A22" s="97"/>
      <c r="B22" s="1148" t="s">
        <v>255</v>
      </c>
      <c r="C22" s="1152" t="s">
        <v>1484</v>
      </c>
      <c r="D22" s="142">
        <f>SUM('.'!D18+'..'!D18+'...'!D18+'.-'!D18+'.-.'!D18+','!D18+'5.1. sz. mell. '!D18+'5.2. sz. mell.  '!D20+'5.3 sz. mell'!D20+'5.4. sz mell'!D20+'5.5. sz. mell.  '!D20+'5.6. sz. mell'!D20+'5.7. sz. mell.'!D20+'5.8. sz. mell.'!D20+'.....'!D18+'5.9. sz. mell.'!D20)</f>
        <v>374032</v>
      </c>
      <c r="E22" s="142">
        <f>SUM('.'!E18+'..'!E18+'...'!E18+'.-'!E18+'.-.'!E18+','!E18+'5.1. sz. mell. '!E18+'5.2. sz. mell.  '!E20+'5.3 sz. mell'!E20+'5.4. sz mell'!E20+'5.5. sz. mell.  '!E20+'5.6. sz. mell'!E20+'5.7. sz. mell.'!E20+'5.8. sz. mell.'!E20+'.....'!E18+'5.9. sz. mell.'!E20)</f>
        <v>385318</v>
      </c>
      <c r="F22" s="142">
        <f>SUM('5.1.a. sz. mell.'!F20+'5.2.a. sz. mell.'!F20+'5.3.a. sz. mell'!F20+'5.4.a. sz mell'!F20+'5.5.a. sz. mell.'!F20+'5.6.a. sz. mell'!F20+'5.7.a. sz. mell.'!F20+'5.8.a. sz. mell.'!F20+'5.9.a. sz. mell'!F20)</f>
        <v>0</v>
      </c>
      <c r="G22" s="142">
        <f t="shared" si="0"/>
        <v>0</v>
      </c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f>SUM('.'!D19+'...'!D19+'5.1. sz. mell. '!D19+'5.2. sz. mell.  '!D21)</f>
        <v>53245</v>
      </c>
      <c r="E23" s="142">
        <f>SUM('.'!E19+'...'!E19+'5.1. sz. mell. '!E19+'5.2. sz. mell.  '!E21)</f>
        <v>54476</v>
      </c>
      <c r="F23" s="142"/>
      <c r="G23" s="142">
        <f t="shared" si="0"/>
        <v>0</v>
      </c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>
        <f>'5.7. sz. mell.'!E23</f>
        <v>2090</v>
      </c>
      <c r="F24" s="142">
        <f>'5.7. sz. mell.'!F23</f>
        <v>0</v>
      </c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6">
        <f>SUM('.....'!D23+'5.9. sz. mell.'!D24)</f>
        <v>5248</v>
      </c>
      <c r="E25" s="146">
        <f>SUM('.....'!E23+'5.9. sz. mell.'!E24+'5.2. sz. mell.  '!E26)+'.....'!E20+'5.10 sz. mell '!E25</f>
        <v>5278</v>
      </c>
      <c r="F25" s="146">
        <f>SUM('.....'!F23+'5.9. sz. mell.'!F24+'5.2. sz. mell.  '!F26)+'.....'!F20+'5.10 sz. mell '!F25</f>
        <v>0</v>
      </c>
      <c r="G25" s="142">
        <f t="shared" si="0"/>
        <v>0</v>
      </c>
    </row>
    <row r="26" spans="1:7" s="96" customFormat="1" ht="15" customHeight="1" thickBot="1" x14ac:dyDescent="0.25">
      <c r="A26" s="1132" t="s">
        <v>12</v>
      </c>
      <c r="B26" s="2"/>
      <c r="C26" s="1142" t="s">
        <v>1487</v>
      </c>
      <c r="D26" s="141">
        <f>SUM(D27)</f>
        <v>0</v>
      </c>
      <c r="E26" s="141">
        <f t="shared" ref="E26:F26" si="1">SUM(E27)</f>
        <v>0</v>
      </c>
      <c r="F26" s="141">
        <f t="shared" si="1"/>
        <v>0</v>
      </c>
      <c r="G26" s="141" t="e">
        <f>F26/E26*100</f>
        <v>#DIV/0!</v>
      </c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6">
        <f>SUM('.'!D25+'..'!D23+'...'!D25+'.-'!D23+'.-.'!D23+','!D23+'5.1. sz. mell. '!D24+'5.2. sz. mell.  '!D29+'5.3 sz. mell'!D28+'5.4. sz mell'!D28+'5.5. sz. mell.  '!D32+'5.6. sz. mell'!D32+'5.7. sz. mell.'!D32+'5.8. sz. mell.'!D32+'.....'!D25+'5.9. sz. mell.'!D32+'5.10 sz. mell '!D32)</f>
        <v>0</v>
      </c>
      <c r="E27" s="146">
        <f>SUM('.'!E25+'..'!E23+'...'!E25+'.-'!E23+'.-.'!E23+','!E23+'5.1. sz. mell. '!E24+'5.2. sz. mell.  '!E29+'5.3 sz. mell'!E28+'5.4. sz mell'!E28+'5.5. sz. mell.  '!E32+'5.6. sz. mell'!E32+'5.7. sz. mell.'!E32+'5.8. sz. mell.'!E32+'.....'!E25+'5.9. sz. mell.'!E32+'5.10 sz. mell '!E32)</f>
        <v>0</v>
      </c>
      <c r="F27" s="146">
        <f>SUM('.'!F25+'..'!F23+'...'!F25+'.-'!F23+'.-.'!F23+','!F23+'5.1. sz. mell. '!F24+'5.2. sz. mell.  '!F29+'5.3 sz. mell'!F28+'5.4. sz mell'!F28+'5.5. sz. mell.  '!F32+'5.6. sz. mell'!F32+'5.7. sz. mell.'!F32+'5.8. sz. mell.'!F32+'.....'!F25+'5.9. sz. mell.'!F32+'5.10 sz. mell '!F32)</f>
        <v>0</v>
      </c>
      <c r="G27" s="146" t="e">
        <f>F27/E27*100</f>
        <v>#DIV/0!</v>
      </c>
    </row>
    <row r="28" spans="1:7" s="99" customFormat="1" ht="15" customHeight="1" thickBot="1" x14ac:dyDescent="0.25">
      <c r="A28" s="1132" t="s">
        <v>68</v>
      </c>
      <c r="B28" s="94"/>
      <c r="C28" s="1156" t="s">
        <v>1505</v>
      </c>
      <c r="D28" s="119"/>
      <c r="E28" s="119"/>
      <c r="F28" s="119"/>
      <c r="G28" s="119" t="e">
        <f t="shared" si="0"/>
        <v>#DIV/0!</v>
      </c>
    </row>
    <row r="29" spans="1:7" s="99" customFormat="1" ht="15" customHeight="1" x14ac:dyDescent="0.2">
      <c r="A29" s="97"/>
      <c r="B29" s="1160" t="s">
        <v>133</v>
      </c>
      <c r="C29" s="1144" t="s">
        <v>1489</v>
      </c>
      <c r="D29" s="142"/>
      <c r="E29" s="142"/>
      <c r="F29" s="142"/>
      <c r="G29" s="142" t="e">
        <f t="shared" si="0"/>
        <v>#DIV/0!</v>
      </c>
    </row>
    <row r="30" spans="1:7" s="99" customFormat="1" ht="15" customHeight="1" x14ac:dyDescent="0.2">
      <c r="A30" s="97"/>
      <c r="B30" s="1160" t="s">
        <v>983</v>
      </c>
      <c r="C30" s="1144" t="s">
        <v>1490</v>
      </c>
      <c r="D30" s="142"/>
      <c r="E30" s="142"/>
      <c r="F30" s="142"/>
      <c r="G30" s="142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42"/>
      <c r="E31" s="142"/>
      <c r="F31" s="142"/>
      <c r="G31" s="142"/>
    </row>
    <row r="32" spans="1:7" s="96" customFormat="1" ht="30" customHeight="1" thickBot="1" x14ac:dyDescent="0.25">
      <c r="A32" s="1132">
        <v>5</v>
      </c>
      <c r="B32" s="1161"/>
      <c r="C32" s="1156" t="s">
        <v>1506</v>
      </c>
      <c r="D32" s="119"/>
      <c r="E32" s="119"/>
      <c r="F32" s="119"/>
      <c r="G32" s="119"/>
    </row>
    <row r="33" spans="1:9" s="96" customFormat="1" ht="30" customHeight="1" thickBot="1" x14ac:dyDescent="0.25">
      <c r="A33" s="1216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2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30" customHeight="1" thickBot="1" x14ac:dyDescent="0.25">
      <c r="A35" s="1216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32" t="s">
        <v>74</v>
      </c>
      <c r="B36" s="117"/>
      <c r="C36" s="1156" t="s">
        <v>1495</v>
      </c>
      <c r="D36" s="148">
        <f>+D37+D38</f>
        <v>0</v>
      </c>
      <c r="E36" s="148">
        <f t="shared" ref="E36:F36" si="2">+E37+E38</f>
        <v>11288</v>
      </c>
      <c r="F36" s="148">
        <f t="shared" si="2"/>
        <v>0</v>
      </c>
      <c r="G36" s="148">
        <f t="shared" si="0"/>
        <v>0</v>
      </c>
    </row>
    <row r="37" spans="1:9" s="96" customFormat="1" ht="15" customHeight="1" thickBot="1" x14ac:dyDescent="0.25">
      <c r="A37" s="1133"/>
      <c r="B37" s="1160" t="s">
        <v>36</v>
      </c>
      <c r="C37" s="1144" t="s">
        <v>1496</v>
      </c>
      <c r="D37" s="401"/>
      <c r="E37" s="401">
        <f>'5.1. sz. mell. '!E26+'5.2. sz. mell.  '!E34+'5.3 sz. mell'!E37+'5.4. sz mell'!E37+'5.5. sz. mell.  '!E34+'5.6. sz. mell'!E34+'5.7. sz. mell.'!E34+'5.8. sz. mell.'!E37+'.....'!E27+'5.9. sz. mell.'!E37+'5.10 sz. mell '!E37</f>
        <v>11288</v>
      </c>
      <c r="F37" s="401">
        <f>'5.1. sz. mell. '!F26+'5.2. sz. mell.  '!F34+'5.3 sz. mell'!F37+'5.4. sz mell'!F37+'5.5. sz. mell.  '!F34+'5.6. sz. mell'!F34+'5.7. sz. mell.'!F34+'5.8. sz. mell.'!F37+'.....'!F27+'5.9. sz. mell.'!F37+'5.10 sz. mell '!F37</f>
        <v>0</v>
      </c>
      <c r="G37" s="401">
        <f t="shared" si="0"/>
        <v>0</v>
      </c>
    </row>
    <row r="38" spans="1:9" s="96" customFormat="1" ht="15" customHeight="1" thickBot="1" x14ac:dyDescent="0.25">
      <c r="A38" s="1134"/>
      <c r="B38" s="1160" t="s">
        <v>37</v>
      </c>
      <c r="C38" s="1144" t="s">
        <v>1497</v>
      </c>
      <c r="D38" s="402"/>
      <c r="E38" s="401">
        <f>'5.1. sz. mell. '!E27+'5.2. sz. mell.  '!E35+'5.3 sz. mell'!E38+'5.4. sz mell'!E38+'5.5. sz. mell.  '!E35+'5.6. sz. mell'!E35+'5.7. sz. mell.'!E35+'5.8. sz. mell.'!E38+'.....'!E28+'5.9. sz. mell.'!E38+'5.10 sz. mell '!E38</f>
        <v>0</v>
      </c>
      <c r="F38" s="401">
        <f>'5.1. sz. mell. '!F27+'5.2. sz. mell.  '!F35+'5.3 sz. mell'!F38+'5.4. sz mell'!F38+'5.5. sz. mell.  '!F35+'5.6. sz. mell'!F35+'5.7. sz. mell.'!F35+'5.8. sz. mell.'!F38+'.....'!F28+'5.9. sz. mell.'!F38+'5.10 sz. mell '!F38</f>
        <v>0</v>
      </c>
      <c r="G38" s="402"/>
    </row>
    <row r="39" spans="1:9" s="99" customFormat="1" ht="15" customHeight="1" thickBot="1" x14ac:dyDescent="0.25">
      <c r="A39" s="116"/>
      <c r="B39" s="1160" t="s">
        <v>1499</v>
      </c>
      <c r="C39" s="1144" t="s">
        <v>1498</v>
      </c>
      <c r="D39" s="353">
        <f>SUM('.'!D29+'..'!D27+'...'!D29+'.-'!D27+'.-.'!D27+','!D27+'5.1. sz. mell. '!D28+'5.2. sz. mell.  '!D36+'5.3 sz. mell'!D39+'5.4. sz mell'!D39+'5.5. sz. mell.  '!D43+'5.6. sz. mell'!D43+'5.7. sz. mell.'!D43+'5.8. sz. mell.'!D39+'.....'!D29+'5.9. sz. mell.'!D39+'5.10 sz. mell '!D39)</f>
        <v>221345</v>
      </c>
      <c r="E39" s="353">
        <f>SUM('.'!E29+'..'!E27+'...'!E29+'.-'!E27+'.-.'!E27+','!E27+'5.1. sz. mell. '!E28+'5.2. sz. mell.  '!E36+'5.3 sz. mell'!E39+'5.4. sz mell'!E39+'5.5. sz. mell.  '!E43+'5.6. sz. mell'!E43+'5.7. sz. mell.'!E43+'5.8. sz. mell.'!E39+'.....'!E29+'5.9. sz. mell.'!E39+'5.10 sz. mell '!E39)</f>
        <v>265646</v>
      </c>
      <c r="F39" s="1424">
        <f>SUM('5.1.a. sz. mell.'!F41+'5.2.a. sz. mell.'!F41+'5.3.a. sz. mell'!F39+'5.4.a. sz mell'!F39+'5.5.a. sz. mell.'!F43+'5.6.a. sz. mell'!F43+'5.7.a. sz. mell.'!F43+'5.8.a. sz. mell.'!F39+'5.9.a. sz. mell'!F39+'5.10.a.sz. mell'!F39)</f>
        <v>730439</v>
      </c>
      <c r="G39" s="353">
        <f t="shared" si="0"/>
        <v>274.96706142761423</v>
      </c>
      <c r="I39" s="110">
        <f>SUM(F40:F41)</f>
        <v>730439</v>
      </c>
    </row>
    <row r="40" spans="1:9" s="99" customFormat="1" ht="15" customHeight="1" thickBot="1" x14ac:dyDescent="0.25">
      <c r="A40" s="1421"/>
      <c r="B40" s="1413" t="s">
        <v>1777</v>
      </c>
      <c r="C40" s="1414" t="s">
        <v>1775</v>
      </c>
      <c r="D40" s="1224"/>
      <c r="E40" s="1224"/>
      <c r="F40" s="1416">
        <f>SUM('5.1.a. sz. mell.'!F42+'5.2.a. sz. mell.'!F42+'5.3.a. sz. mell'!F40+'5.4.a. sz mell'!F40+'5.5.a. sz. mell.'!F44+'5.6.a. sz. mell'!F44+'5.7.a. sz. mell.'!F44+'5.8.a. sz. mell.'!F40+'5.9.a. sz. mell'!F40)</f>
        <v>430566</v>
      </c>
      <c r="G40" s="1422"/>
    </row>
    <row r="41" spans="1:9" s="99" customFormat="1" ht="15" customHeight="1" thickBot="1" x14ac:dyDescent="0.25">
      <c r="A41" s="1421"/>
      <c r="B41" s="1417" t="s">
        <v>1778</v>
      </c>
      <c r="C41" s="1418" t="s">
        <v>1776</v>
      </c>
      <c r="D41" s="1224"/>
      <c r="E41" s="1224"/>
      <c r="F41" s="1416">
        <f>SUM('5.1.a. sz. mell.'!F43+'5.2.a. sz. mell.'!F43+'5.3.a. sz. mell'!F41+'5.4.a. sz mell'!F41+'5.5.a. sz. mell.'!F45+'5.6.a. sz. mell'!F45+'5.7.a. sz. mell.'!F45+'5.8.a. sz. mell.'!F41+'5.9.a. sz. mell'!F41+'5.10.a.sz. mell'!F39)</f>
        <v>299873</v>
      </c>
      <c r="G41" s="1422"/>
    </row>
    <row r="42" spans="1:9" s="99" customFormat="1" ht="15" hidden="1" customHeight="1" thickBot="1" x14ac:dyDescent="0.3">
      <c r="A42" s="116" t="s">
        <v>38</v>
      </c>
      <c r="B42" s="117"/>
      <c r="C42" s="1220" t="s">
        <v>542</v>
      </c>
      <c r="D42" s="119"/>
      <c r="E42" s="119"/>
      <c r="F42" s="119"/>
      <c r="G42" s="119"/>
    </row>
    <row r="43" spans="1:9" s="99" customFormat="1" ht="15" customHeight="1" thickBot="1" x14ac:dyDescent="0.25">
      <c r="A43" s="150" t="s">
        <v>88</v>
      </c>
      <c r="B43" s="151"/>
      <c r="C43" s="354" t="s">
        <v>543</v>
      </c>
      <c r="D43" s="152">
        <f>SUM(D8,D19,D28,D32,D36,D39)</f>
        <v>1281024</v>
      </c>
      <c r="E43" s="152" t="e">
        <f>SUM(E8,E19,E28,E32,E36,E39)</f>
        <v>#REF!</v>
      </c>
      <c r="F43" s="152">
        <f>SUM(F8,F19,F28,F32,F36,F39,F42)</f>
        <v>1049539</v>
      </c>
      <c r="G43" s="152" t="e">
        <f t="shared" si="0"/>
        <v>#REF!</v>
      </c>
    </row>
    <row r="44" spans="1:9" s="99" customFormat="1" ht="9" customHeight="1" thickBot="1" x14ac:dyDescent="0.25">
      <c r="A44" s="336"/>
      <c r="B44" s="336"/>
      <c r="C44" s="355"/>
      <c r="D44" s="155"/>
      <c r="E44" s="155"/>
      <c r="F44" s="155"/>
      <c r="G44" s="155"/>
    </row>
    <row r="45" spans="1:9" s="89" customFormat="1" ht="15" customHeight="1" thickBot="1" x14ac:dyDescent="0.25">
      <c r="A45" s="150"/>
      <c r="B45" s="151"/>
      <c r="C45" s="387" t="s">
        <v>82</v>
      </c>
      <c r="D45" s="152"/>
      <c r="E45" s="152"/>
      <c r="F45" s="152"/>
      <c r="G45" s="152"/>
    </row>
    <row r="46" spans="1:9" s="125" customFormat="1" ht="15" customHeight="1" thickBot="1" x14ac:dyDescent="0.25">
      <c r="A46" s="1132" t="s">
        <v>2</v>
      </c>
      <c r="B46" s="2"/>
      <c r="C46" s="10" t="s">
        <v>49</v>
      </c>
      <c r="D46" s="36">
        <f>SUM(D47+D48+D49+D51)</f>
        <v>1341706</v>
      </c>
      <c r="E46" s="36" t="e">
        <f>SUM(E47+E48+E49+E51+#REF!)</f>
        <v>#REF!</v>
      </c>
      <c r="F46" s="36">
        <f>SUM(F47+F48+F49+F51)</f>
        <v>1044530</v>
      </c>
      <c r="G46" s="36" t="e">
        <f t="shared" si="0"/>
        <v>#REF!</v>
      </c>
    </row>
    <row r="47" spans="1:9" ht="15" customHeight="1" thickBot="1" x14ac:dyDescent="0.25">
      <c r="A47" s="113"/>
      <c r="B47" s="124" t="s">
        <v>50</v>
      </c>
      <c r="C47" s="7" t="s">
        <v>51</v>
      </c>
      <c r="D47" s="107">
        <f>SUM('.'!D35+'..'!D33+'...'!D35+'.-'!D33+'.-.'!D33+','!D33+'5.1. sz. mell. '!D34+'5.2. sz. mell.  '!D48+'5.3 sz. mell'!D47+'5.4. sz mell'!D47+'5.5. sz. mell.  '!D51+'5.6. sz. mell'!D51+'5.7. sz. mell.'!D51+'5.8. sz. mell.'!D46+'.....'!D35+'5.9. sz. mell.'!D46+'5.10 sz. mell '!D45)</f>
        <v>501735</v>
      </c>
      <c r="E47" s="107">
        <f>SUM('.'!E35+'..'!E33+'...'!E35+'.-'!E33+'.-.'!E33+','!E33+'5.1. sz. mell. '!E34+'5.2. sz. mell.  '!E48+'5.3 sz. mell'!E47+'5.4. sz mell'!E47+'5.5. sz. mell.  '!E51+'5.6. sz. mell'!E51+'5.7. sz. mell.'!E51+'5.8. sz. mell.'!E46+'.....'!E35+'5.9. sz. mell.'!E46+'5.10 sz. mell '!E45)</f>
        <v>544278</v>
      </c>
      <c r="F47" s="107">
        <f>SUM('5.1.a. sz. mell.'!F48+'5.2.a. sz. mell.'!F48+'5.3.a. sz. mell'!F47+'5.4.a. sz mell'!F47+'5.5.a. sz. mell.'!F51+'5.6.a. sz. mell'!F51+'5.7.a. sz. mell.'!F51+'5.8.a. sz. mell.'!F46+'5.9.a. sz. mell'!F46+'5.10.a.sz. mell'!F44)</f>
        <v>427805</v>
      </c>
      <c r="G47" s="107">
        <f t="shared" si="0"/>
        <v>78.600457854258295</v>
      </c>
    </row>
    <row r="48" spans="1:9" ht="15" customHeight="1" thickBot="1" x14ac:dyDescent="0.25">
      <c r="A48" s="97"/>
      <c r="B48" s="109" t="s">
        <v>52</v>
      </c>
      <c r="C48" s="3" t="s">
        <v>53</v>
      </c>
      <c r="D48" s="27">
        <f>SUM('.'!D37+'..'!D34+'...'!D37+'.-'!D34+'.-.'!D34+','!D34+'5.1. sz. mell. '!D36+'5.2. sz. mell.  '!D50+'5.3 sz. mell'!D48+'5.4. sz mell'!D48+'5.5. sz. mell.  '!D52+'5.6. sz. mell'!D52+'5.7. sz. mell.'!D52+'5.8. sz. mell.'!D47+'.....'!D36+'5.9. sz. mell.'!D47+'5.10 sz. mell '!D46)</f>
        <v>143140</v>
      </c>
      <c r="E48" s="27">
        <f>SUM('.'!E37+'..'!E34+'...'!E37+'.-'!E34+'.-.'!E34+','!E34+'5.1. sz. mell. '!E36+'5.2. sz. mell.  '!E50+'5.3 sz. mell'!E48+'5.4. sz mell'!E48+'5.5. sz. mell.  '!E52+'5.6. sz. mell'!E52+'5.7. sz. mell.'!E52+'5.8. sz. mell.'!E47+'.....'!E36+'5.9. sz. mell.'!E47+'5.10 sz. mell '!E46)</f>
        <v>149845</v>
      </c>
      <c r="F48" s="107">
        <f>SUM('5.1.a. sz. mell.'!F50+'5.2.a. sz. mell.'!F50+'5.3.a. sz. mell'!F48+'5.4.a. sz mell'!F48+'5.5.a. sz. mell.'!F52+'5.6.a. sz. mell'!F52+'5.7.a. sz. mell.'!F52+'5.8.a. sz. mell.'!F47+'5.9.a. sz. mell'!F47+'5.10.a.sz. mell'!F45)</f>
        <v>116763</v>
      </c>
      <c r="G48" s="27">
        <f t="shared" si="0"/>
        <v>77.922519937268504</v>
      </c>
    </row>
    <row r="49" spans="1:8" ht="15" customHeight="1" thickBot="1" x14ac:dyDescent="0.25">
      <c r="A49" s="97"/>
      <c r="B49" s="109" t="s">
        <v>54</v>
      </c>
      <c r="C49" s="3" t="s">
        <v>55</v>
      </c>
      <c r="D49" s="27">
        <f>SUM('.'!D39+'..'!D35+'...'!D39+'.-'!D35+'.-.'!D35+','!D35+'5.1. sz. mell. '!D38+'5.2. sz. mell.  '!D52+'5.3 sz. mell'!D49+'5.4. sz mell'!D49+'5.5. sz. mell.  '!D53+'5.6. sz. mell'!D53+'5.7. sz. mell.'!D53+'5.8. sz. mell.'!D48+'.....'!D37+'5.9. sz. mell.'!D48+'5.10 sz. mell '!D47)</f>
        <v>686845</v>
      </c>
      <c r="E49" s="27">
        <f>SUM('.'!E39+'..'!E35+'...'!E39+'.-'!E35+'.-.'!E35+','!E35+'5.1. sz. mell. '!E38+'5.2. sz. mell.  '!E52+'5.3 sz. mell'!E49+'5.4. sz mell'!E49+'5.5. sz. mell.  '!E53+'5.6. sz. mell'!E53+'5.7. sz. mell.'!E53+'5.8. sz. mell.'!E48+'.....'!E37+'5.9. sz. mell.'!E48+'5.10 sz. mell '!E47)</f>
        <v>756293</v>
      </c>
      <c r="F49" s="107">
        <f>SUM('5.1.a. sz. mell.'!F52+'5.3.a. sz. mell'!F49+'5.4.a. sz mell'!F49+'5.5.a. sz. mell.'!F53+'5.6.a. sz. mell'!F53+'5.7.a. sz. mell.'!F53+'5.8.a. sz. mell.'!F48+'5.9.a. sz. mell'!F48+'5.10.a.sz. mell'!F46+'5.2.a. sz. mell.'!F52)</f>
        <v>499962</v>
      </c>
      <c r="G49" s="27">
        <f t="shared" si="0"/>
        <v>66.106918879323231</v>
      </c>
    </row>
    <row r="50" spans="1:8" ht="15" customHeight="1" thickBot="1" x14ac:dyDescent="0.25">
      <c r="A50" s="97"/>
      <c r="B50" s="109" t="s">
        <v>56</v>
      </c>
      <c r="C50" s="3" t="s">
        <v>57</v>
      </c>
      <c r="D50" s="27"/>
      <c r="E50" s="27"/>
      <c r="F50" s="107">
        <f>SUM('5.1.a. sz. mell.'!F51+'5.2.a. sz. mell.'!F51+'5.3.a. sz. mell'!F50+'5.4.a. sz mell'!F50+'5.5.a. sz. mell.'!F54+'5.6.a. sz. mell'!F54+'5.7.a. sz. mell.'!F54+'5.8.a. sz. mell.'!F49+'5.9.a. sz. mell'!F49+'5.10.a.sz. mell'!F47)</f>
        <v>0</v>
      </c>
      <c r="G50" s="27"/>
    </row>
    <row r="51" spans="1:8" ht="15" customHeight="1" thickBot="1" x14ac:dyDescent="0.25">
      <c r="A51" s="97"/>
      <c r="B51" s="109" t="s">
        <v>58</v>
      </c>
      <c r="C51" s="3" t="s">
        <v>59</v>
      </c>
      <c r="D51" s="27">
        <f>SUM('.....'!D39+'5.9. sz. mell.'!D50)</f>
        <v>9986</v>
      </c>
      <c r="E51" s="27">
        <f>SUM('.....'!E39+'5.9. sz. mell.'!E50)</f>
        <v>9986</v>
      </c>
      <c r="F51" s="107"/>
      <c r="G51" s="27">
        <f t="shared" si="0"/>
        <v>0</v>
      </c>
    </row>
    <row r="52" spans="1:8" ht="15" customHeight="1" thickBot="1" x14ac:dyDescent="0.25">
      <c r="A52" s="1132" t="s">
        <v>3</v>
      </c>
      <c r="B52" s="2"/>
      <c r="C52" s="10" t="s">
        <v>1513</v>
      </c>
      <c r="D52" s="36">
        <f>SUM(D53:D55)</f>
        <v>0</v>
      </c>
      <c r="E52" s="36">
        <f>SUM(E53:E55)</f>
        <v>9536</v>
      </c>
      <c r="F52" s="36">
        <f>SUM(F53:F55)</f>
        <v>5009</v>
      </c>
      <c r="G52" s="36">
        <f t="shared" si="0"/>
        <v>52.527265100671137</v>
      </c>
    </row>
    <row r="53" spans="1:8" s="125" customFormat="1" ht="15" customHeight="1" x14ac:dyDescent="0.2">
      <c r="A53" s="113"/>
      <c r="B53" s="1165" t="s">
        <v>4</v>
      </c>
      <c r="C53" s="1151" t="s">
        <v>1173</v>
      </c>
      <c r="D53" s="22"/>
      <c r="E53" s="22">
        <f>'5.1. sz. mell. '!E45+'5.2. sz. mell.  '!E57+'5.3 sz. mell'!E53+'5.4. sz mell'!E53+'5.5. sz. mell.  '!E57+'5.6. sz. mell'!E57+'5.7. sz. mell.'!E58+'5.8. sz. mell.'!E52+'.....'!E41+'5.9. sz. mell.'!E52+'5.10 sz. mell '!E51</f>
        <v>9536</v>
      </c>
      <c r="F53" s="22">
        <f>SUM('5.1.a. sz. mell.'!F57+'5.2.a. sz. mell.'!F57+'5.3.a. sz. mell'!F53+'5.4.a. sz mell'!F53+'5.5.a. sz. mell.'!F57+'5.6.a. sz. mell'!F57+'5.7.a. sz. mell.'!F58+'5.8.a. sz. mell.'!F52+'5.9.a. sz. mell'!F52+'5.10.a.sz. mell'!F50)</f>
        <v>5009</v>
      </c>
      <c r="G53" s="22">
        <f t="shared" si="0"/>
        <v>52.527265100671137</v>
      </c>
    </row>
    <row r="54" spans="1:8" ht="15" customHeight="1" x14ac:dyDescent="0.2">
      <c r="A54" s="97"/>
      <c r="B54" s="1166" t="s">
        <v>6</v>
      </c>
      <c r="C54" s="1144" t="s">
        <v>64</v>
      </c>
      <c r="D54" s="27"/>
      <c r="E54" s="22">
        <f>'5.1. sz. mell. '!E46+'5.2. sz. mell.  '!E58+'5.3 sz. mell'!E54+'5.4. sz mell'!E54+'5.5. sz. mell.  '!E58+'5.6. sz. mell'!E58+'5.7. sz. mell.'!E59+'5.8. sz. mell.'!E53+'.....'!E42+'5.9. sz. mell.'!E53+'5.10 sz. mell '!E52</f>
        <v>0</v>
      </c>
      <c r="F54" s="22">
        <f>'5.1. sz. mell. '!F46+'5.2. sz. mell.  '!F58+'5.3 sz. mell'!F54+'5.4. sz mell'!F54+'5.5. sz. mell.  '!F58+'5.6. sz. mell'!F58+'5.7. sz. mell.'!F59+'5.8. sz. mell.'!F53+'.....'!F42+'5.9. sz. mell.'!F53+'5.10 sz. mell '!F52</f>
        <v>0</v>
      </c>
      <c r="G54" s="27" t="e">
        <f t="shared" si="0"/>
        <v>#DIV/0!</v>
      </c>
    </row>
    <row r="55" spans="1:8" ht="15.75" customHeight="1" thickBot="1" x14ac:dyDescent="0.25">
      <c r="A55" s="97"/>
      <c r="B55" s="1166" t="s">
        <v>7</v>
      </c>
      <c r="C55" s="1144" t="s">
        <v>1500</v>
      </c>
      <c r="D55" s="27"/>
      <c r="E55" s="27"/>
      <c r="F55" s="27"/>
      <c r="G55" s="27"/>
    </row>
    <row r="56" spans="1:8" ht="15" customHeight="1" thickBot="1" x14ac:dyDescent="0.25">
      <c r="A56" s="1132" t="s">
        <v>12</v>
      </c>
      <c r="B56" s="2"/>
      <c r="C56" s="10" t="s">
        <v>514</v>
      </c>
      <c r="D56" s="128"/>
      <c r="E56" s="128"/>
      <c r="F56" s="128"/>
      <c r="G56" s="128"/>
    </row>
    <row r="57" spans="1:8" s="99" customFormat="1" ht="15" hidden="1" customHeight="1" thickBot="1" x14ac:dyDescent="0.25">
      <c r="A57" s="1208" t="s">
        <v>68</v>
      </c>
      <c r="B57" s="2"/>
      <c r="C57" s="1221" t="s">
        <v>515</v>
      </c>
      <c r="D57" s="119"/>
      <c r="E57" s="119"/>
      <c r="F57" s="119"/>
      <c r="G57" s="119"/>
    </row>
    <row r="58" spans="1:8" ht="15" customHeight="1" thickBot="1" x14ac:dyDescent="0.25">
      <c r="A58" s="1208" t="s">
        <v>27</v>
      </c>
      <c r="B58" s="151"/>
      <c r="C58" s="354" t="s">
        <v>516</v>
      </c>
      <c r="D58" s="152">
        <f>+D46+D52+D56</f>
        <v>1341706</v>
      </c>
      <c r="E58" s="152" t="e">
        <f>+E46+E52+E56</f>
        <v>#REF!</v>
      </c>
      <c r="F58" s="152">
        <f>+F46+F52+F56+F57</f>
        <v>1049539</v>
      </c>
      <c r="G58" s="152" t="e">
        <f t="shared" si="0"/>
        <v>#REF!</v>
      </c>
    </row>
    <row r="59" spans="1:8" ht="15" customHeight="1" thickBot="1" x14ac:dyDescent="0.25">
      <c r="A59" s="133" t="s">
        <v>136</v>
      </c>
      <c r="B59" s="134"/>
      <c r="C59" s="135"/>
      <c r="D59" s="136">
        <f>SUM('.'!D52+'..'!D47+'...'!D52+'.-'!D47+'.-.'!D47+','!D47+'5.1. sz. mell. '!D53+'5.2. sz. mell.  '!D65+'5.3 sz. mell'!D61+'5.4. sz mell'!D61+'5.5. sz. mell.  '!D65+'5.6. sz. mell'!D65+'5.7. sz. mell.'!D68+'5.8. sz. mell.'!D57+'.....'!D49+'5.9. sz. mell.'!D57+'5.10 sz. mell '!D57)</f>
        <v>247.5</v>
      </c>
      <c r="E59" s="136">
        <f>SUM('.'!E52+'..'!E47+'...'!E52+'.-'!E47+'.-.'!E47+','!E47+'5.1. sz. mell. '!E53+'5.2. sz. mell.  '!E65+'5.3 sz. mell'!E61+'5.4. sz mell'!E61+'5.5. sz. mell.  '!E65+'5.6. sz. mell'!E65+'5.7. sz. mell.'!E68+'5.8. sz. mell.'!E57+'.....'!E49+'5.9. sz. mell.'!E57+'5.10 sz. mell '!E57)</f>
        <v>248.5</v>
      </c>
      <c r="F59" s="22">
        <f>SUM('5.1.a. sz. mell.'!F65+'5.2.a. sz. mell.'!F65+'5.3.a. sz. mell'!F61+'5.4.a. sz mell'!F61+'5.5.a. sz. mell.'!F65+'5.6.a. sz. mell'!F65+'5.7.a. sz. mell.'!F67+'5.8.a. sz. mell.'!F57+'5.9.a. sz. mell'!F57+'5.10.a.sz. mell'!F55)</f>
        <v>181.75</v>
      </c>
      <c r="G59" s="136"/>
      <c r="H59" s="99"/>
    </row>
    <row r="60" spans="1:8" ht="15" customHeight="1" thickBot="1" x14ac:dyDescent="0.25">
      <c r="A60" s="133" t="s">
        <v>137</v>
      </c>
      <c r="B60" s="134"/>
      <c r="C60" s="135"/>
      <c r="D60" s="167"/>
      <c r="E60" s="167"/>
      <c r="F60" s="167"/>
      <c r="G60" s="167"/>
      <c r="H60" s="99"/>
    </row>
    <row r="61" spans="1:8" ht="15" customHeight="1" x14ac:dyDescent="0.2"/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35433070866141736" right="0.19685039370078741" top="0.51181102362204722" bottom="0.39370078740157483" header="0.23622047244094491" footer="0.15748031496062992"/>
  <pageSetup paperSize="9" scale="82" firstPageNumber="70" orientation="portrait" r:id="rId1"/>
  <headerFooter alignWithMargins="0">
    <oddFooter>&amp;C-&amp;P -</oddFooter>
  </headerFooter>
  <rowBreaks count="1" manualBreakCount="1">
    <brk id="43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61"/>
  <sheetViews>
    <sheetView view="pageBreakPreview" zoomScaleNormal="130" zoomScaleSheetLayoutView="100" workbookViewId="0">
      <selection activeCell="D1" sqref="D1:G1"/>
    </sheetView>
  </sheetViews>
  <sheetFormatPr defaultRowHeight="12.75" x14ac:dyDescent="0.2"/>
  <cols>
    <col min="1" max="1" width="7.6640625" style="75" customWidth="1"/>
    <col min="2" max="2" width="9.6640625" style="76" customWidth="1"/>
    <col min="3" max="3" width="61.5" style="76" customWidth="1"/>
    <col min="4" max="4" width="15.5" style="76" hidden="1" customWidth="1"/>
    <col min="5" max="5" width="14.5" style="76" hidden="1" customWidth="1"/>
    <col min="6" max="6" width="19" style="76" customWidth="1"/>
    <col min="7" max="7" width="9.6640625" style="76" hidden="1" customWidth="1"/>
    <col min="8" max="9" width="9.33203125" style="76"/>
    <col min="10" max="10" width="9.83203125" style="76" customWidth="1"/>
    <col min="11" max="16384" width="9.33203125" style="76"/>
  </cols>
  <sheetData>
    <row r="1" spans="1:7" s="326" customFormat="1" ht="14.25" customHeight="1" thickBot="1" x14ac:dyDescent="0.25">
      <c r="A1" s="323"/>
      <c r="B1" s="324"/>
      <c r="C1" s="325"/>
      <c r="D1" s="1552" t="s">
        <v>1795</v>
      </c>
      <c r="E1" s="1552"/>
      <c r="F1" s="1552"/>
      <c r="G1" s="1552"/>
    </row>
    <row r="2" spans="1:7" s="79" customFormat="1" ht="31.5" customHeight="1" x14ac:dyDescent="0.2">
      <c r="A2" s="1554" t="s">
        <v>495</v>
      </c>
      <c r="B2" s="1554"/>
      <c r="C2" s="77" t="s">
        <v>534</v>
      </c>
      <c r="D2" s="1523" t="s">
        <v>1024</v>
      </c>
      <c r="E2" s="343"/>
      <c r="F2" s="1523" t="s">
        <v>1420</v>
      </c>
      <c r="G2" s="343"/>
    </row>
    <row r="3" spans="1:7" s="79" customFormat="1" ht="30" customHeight="1" thickBot="1" x14ac:dyDescent="0.25">
      <c r="A3" s="1555" t="s">
        <v>122</v>
      </c>
      <c r="B3" s="1555"/>
      <c r="C3" s="80" t="s">
        <v>1541</v>
      </c>
      <c r="D3" s="1524"/>
      <c r="E3" s="327"/>
      <c r="F3" s="1524"/>
      <c r="G3" s="327"/>
    </row>
    <row r="4" spans="1:7" s="83" customFormat="1" ht="13.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ht="30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89" customFormat="1" ht="12.9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.9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238143</v>
      </c>
      <c r="E8" s="141">
        <f t="shared" ref="E8:F8" si="0">SUM(E9:E18)</f>
        <v>238160</v>
      </c>
      <c r="F8" s="141">
        <f t="shared" si="0"/>
        <v>11851</v>
      </c>
      <c r="G8" s="141">
        <f>F8/E8*100</f>
        <v>4.9760665099093053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f>SUM('.'!D9+'..'!D9+'...'!D9+'.-'!D9+'.-.'!D9+','!D9+'5.1. sz. mell. '!D9+'5.2. sz. mell.  '!D9+'5.3 sz. mell'!D9+'5.4. sz mell'!D9+'5.5. sz. mell.  '!D9+'5.6. sz. mell'!D9+'5.7. sz. mell.'!D9+'5.8. sz. mell.'!D9+'.....'!D9+'5.9. sz. mell.'!D9+'5.10 sz. mell '!D9)</f>
        <v>0</v>
      </c>
      <c r="E9" s="144">
        <f>SUM('.'!E9+'..'!E9+'...'!E9+'.-'!E9+'.-.'!E9+','!E9+'5.1. sz. mell. '!E9+'5.2. sz. mell.  '!E9+'5.3 sz. mell'!E9+'5.4. sz mell'!E9+'5.5. sz. mell.  '!E9+'5.6. sz. mell'!E9+'5.7. sz. mell.'!E9+'5.8. sz. mell.'!E9+'.....'!E9+'5.9. sz. mell.'!E9+'5.10 sz. mell '!E9)</f>
        <v>0</v>
      </c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f>SUM('.'!D10+'..'!D10+'...'!D10+'.-'!D10+'.-.'!D10+','!D10+'5.1. sz. mell. '!D10+'5.2. sz. mell.  '!D10+'5.3 sz. mell'!D10+'5.4. sz mell'!D10+'5.5. sz. mell.  '!D10+'5.6. sz. mell'!D10+'5.7. sz. mell.'!D10+'5.8. sz. mell.'!D10+'.....'!D10+'5.9. sz. mell.'!D10+'5.10 sz. mell '!D10)</f>
        <v>184960</v>
      </c>
      <c r="E10" s="142">
        <f>SUM('.'!E10+'..'!E10+'...'!E10+'.-'!E10+'.-.'!E10+','!E10+'5.1. sz. mell. '!E10+'5.2. sz. mell.  '!E10+'5.3 sz. mell'!E10+'5.4. sz mell'!E10+'5.5. sz. mell.  '!E10+'5.6. sz. mell'!E10+'5.7. sz. mell.'!E10+'5.8. sz. mell.'!E10+'.....'!E10+'5.9. sz. mell.'!E10+'5.10 sz. mell '!E10)</f>
        <v>184960</v>
      </c>
      <c r="F10" s="142">
        <f>SUM('5.9.b. sz. mell.'!F10+'5.10.b. sz. mell'!F10)</f>
        <v>5205</v>
      </c>
      <c r="G10" s="142">
        <f t="shared" ref="G10:G58" si="1">F10/E10*100</f>
        <v>2.8141219723183388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f>SUM('.'!D11+'..'!D11+'...'!D11+'.-'!D11+'.-.'!D11+','!D11+'5.1. sz. mell. '!D11+'5.2. sz. mell.  '!D11+'5.3 sz. mell'!D11+'5.4. sz mell'!D11+'5.5. sz. mell.  '!D11+'5.6. sz. mell'!D11+'5.7. sz. mell.'!D11+'5.8. sz. mell.'!D11+'.....'!D11+'5.9. sz. mell.'!D11+'5.10 sz. mell '!D11)</f>
        <v>4700</v>
      </c>
      <c r="E11" s="142">
        <f>SUM('.'!E11+'..'!E11+'...'!E11+'.-'!E11+'.-.'!E11+','!E11+'5.1. sz. mell. '!E11+'5.2. sz. mell.  '!E11+'5.3 sz. mell'!E11+'5.4. sz mell'!E11+'5.5. sz. mell.  '!E11+'5.6. sz. mell'!E11+'5.7. sz. mell.'!E11+'5.8. sz. mell.'!E11+'.....'!E11+'5.9. sz. mell.'!E11+'5.10 sz. mell '!E11)</f>
        <v>4700</v>
      </c>
      <c r="F11" s="142"/>
      <c r="G11" s="142">
        <f t="shared" si="1"/>
        <v>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f>SUM('.'!D12+'..'!D12+'...'!D12+'.-'!D12+'.-.'!D12+','!D12+'5.1. sz. mell. '!D12+'5.2. sz. mell.  '!D12+'5.3 sz. mell'!D12+'5.4. sz mell'!D12+'5.5. sz. mell.  '!D12+'5.6. sz. mell'!D12+'5.7. sz. mell.'!D12+'5.8. sz. mell.'!D12+'.....'!D12+'5.9. sz. mell.'!D12+'5.10 sz. mell '!D12)</f>
        <v>2571</v>
      </c>
      <c r="E12" s="142">
        <f>SUM('.'!E12+'..'!E12+'...'!E12+'.-'!E12+'.-.'!E12+','!E12+'5.1. sz. mell. '!E12+'5.2. sz. mell.  '!E12+'5.3 sz. mell'!E12+'5.4. sz mell'!E12+'5.5. sz. mell.  '!E12+'5.6. sz. mell'!E12+'5.7. sz. mell.'!E12+'5.8. sz. mell.'!E12+'.....'!E12+'5.9. sz. mell.'!E12+'5.10 sz. mell '!E12)</f>
        <v>2571</v>
      </c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f>SUM('.'!D13+'..'!D13+'...'!D13+'.-'!D13+'.-.'!D13+','!D13+'5.1. sz. mell. '!D13+'5.2. sz. mell.  '!D13+'5.3 sz. mell'!D13+'5.4. sz mell'!D13+'5.5. sz. mell.  '!D13+'5.6. sz. mell'!D13+'5.7. sz. mell.'!D13+'5.8. sz. mell.'!D13+'.....'!D13+'5.9. sz. mell.'!D13+'5.10 sz. mell '!D13)</f>
        <v>907</v>
      </c>
      <c r="E13" s="142">
        <f>SUM('.'!E13+'..'!E13+'...'!E13+'.-'!E13+'.-.'!E13+','!E13+'5.1. sz. mell. '!E13+'5.2. sz. mell.  '!E13+'5.3 sz. mell'!E13+'5.4. sz mell'!E13+'5.5. sz. mell.  '!E13+'5.6. sz. mell'!E13+'5.7. sz. mell.'!E13+'5.8. sz. mell.'!E13+'.....'!E13+'5.9. sz. mell.'!E13+'5.10 sz. mell '!E13)</f>
        <v>907</v>
      </c>
      <c r="F13" s="142"/>
      <c r="G13" s="142">
        <f t="shared" si="1"/>
        <v>0</v>
      </c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2">
        <f>SUM('.'!D14+'..'!D14+'...'!D14+'.-'!D14+'.-.'!D14+','!D14+'5.1. sz. mell. '!D14+'5.2. sz. mell.  '!D14+'5.3 sz. mell'!D14+'5.4. sz mell'!D14+'5.5. sz. mell.  '!D14+'5.6. sz. mell'!D14+'5.7. sz. mell.'!D14+'5.8. sz. mell.'!D14+'.....'!D14+'5.9. sz. mell.'!D14+'5.10 sz. mell '!D14)</f>
        <v>45005</v>
      </c>
      <c r="E14" s="142">
        <f>SUM('.'!E14+'..'!E14+'...'!E14+'.-'!E14+'.-.'!E14+','!E14+'5.1. sz. mell. '!E14+'5.2. sz. mell.  '!E14+'5.3 sz. mell'!E14+'5.4. sz mell'!E14+'5.5. sz. mell.  '!E14+'5.6. sz. mell'!E14+'5.7. sz. mell.'!E14+'5.8. sz. mell.'!E14+'.....'!E14+'5.9. sz. mell.'!E14+'5.10 sz. mell '!E14)</f>
        <v>45005</v>
      </c>
      <c r="F14" s="142"/>
      <c r="G14" s="142">
        <f t="shared" si="1"/>
        <v>0</v>
      </c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f>SUM('.'!D15+'..'!D15+'...'!D15+'.-'!D15+'.-.'!D15+','!D15+'5.1. sz. mell. '!D15+'5.2. sz. mell.  '!D16+'5.3 sz. mell'!D16+'5.4. sz mell'!D16+'5.5. sz. mell.  '!D16+'5.6. sz. mell'!D16+'5.7. sz. mell.'!D16+'5.8. sz. mell.'!D15+'.....'!D15+'5.9. sz. mell.'!D15+'5.10 sz. mell '!D15)</f>
        <v>0</v>
      </c>
      <c r="E15" s="142">
        <f>SUM('.'!E15+'..'!E15+'...'!E15+'.-'!E15+'.-.'!E15+','!E15+'5.1. sz. mell. '!E15+'5.2. sz. mell.  '!E16+'5.3 sz. mell'!E16+'5.4. sz mell'!E16+'5.5. sz. mell.  '!E16+'5.6. sz. mell'!E16+'5.7. sz. mell.'!E16+'5.8. sz. mell.'!E15+'.....'!E15+'5.9. sz. mell.'!E15+'5.10 sz. mell '!E15)</f>
        <v>17</v>
      </c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6">
        <f>SUM('.'!D16+'..'!D16+'...'!D16+'.-'!D16+'.-.'!D16+','!D16+'5.1. sz. mell. '!D16+'5.2. sz. mell.  '!D18+'5.3 sz. mell'!D18+'5.4. sz mell'!D18+'5.5. sz. mell.  '!D18+'5.6. sz. mell'!D18+'5.7. sz. mell.'!D18+'5.8. sz. mell.'!D18+'.....'!D16+'5.9. sz. mell.'!D18+'5.10 sz. mell '!D18)</f>
        <v>0</v>
      </c>
      <c r="E18" s="146">
        <f>SUM('.'!E16+'..'!E16+'...'!E16+'.-'!E16+'.-.'!E16+','!E16+'5.1. sz. mell. '!E16+'5.2. sz. mell.  '!E18+'5.3 sz. mell'!E18+'5.4. sz mell'!E18+'5.5. sz. mell.  '!E18+'5.6. sz. mell'!E18+'5.7. sz. mell.'!E18+'5.8. sz. mell.'!E18+'.....'!E16+'5.9. sz. mell.'!E18+'5.10 sz. mell '!E18)</f>
        <v>0</v>
      </c>
      <c r="F18" s="146">
        <f>SUM('5.9.b. sz. mell.'!F18+'5.10.b. sz. mell'!F18)</f>
        <v>6646</v>
      </c>
      <c r="G18" s="146" t="e">
        <f t="shared" si="1"/>
        <v>#DIV/0!</v>
      </c>
    </row>
    <row r="19" spans="1:7" s="96" customFormat="1" ht="29.25" customHeight="1" thickBot="1" x14ac:dyDescent="0.25">
      <c r="A19" s="1132" t="s">
        <v>3</v>
      </c>
      <c r="B19" s="94"/>
      <c r="C19" s="1142" t="s">
        <v>1482</v>
      </c>
      <c r="D19" s="141">
        <f>SUM(D20:D25)-D23</f>
        <v>821536</v>
      </c>
      <c r="E19" s="141" t="e">
        <f>SUM(E20:E25)-E23-#REF!</f>
        <v>#REF!</v>
      </c>
      <c r="F19" s="141">
        <f>SUM(F20+F24+F25)</f>
        <v>361860</v>
      </c>
      <c r="G19" s="141" t="e">
        <f t="shared" si="1"/>
        <v>#REF!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4"/>
      <c r="E20" s="144"/>
      <c r="F20" s="144">
        <f>SUM(F21:F23)</f>
        <v>361860</v>
      </c>
      <c r="G20" s="144" t="e">
        <f t="shared" si="1"/>
        <v>#DIV/0!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7">
        <f>SUM('5.10 sz. mell '!D21)</f>
        <v>442256</v>
      </c>
      <c r="E21" s="147">
        <f>SUM('5.10 sz. mell '!E21)</f>
        <v>442256</v>
      </c>
      <c r="F21" s="147">
        <f>SUM('5.10.b. sz. mell'!F21)</f>
        <v>361860</v>
      </c>
      <c r="G21" s="147">
        <f t="shared" si="1"/>
        <v>81.821388517057997</v>
      </c>
    </row>
    <row r="22" spans="1:7" s="99" customFormat="1" ht="30.75" customHeight="1" x14ac:dyDescent="0.2">
      <c r="A22" s="97"/>
      <c r="B22" s="1148" t="s">
        <v>255</v>
      </c>
      <c r="C22" s="1152" t="s">
        <v>1484</v>
      </c>
      <c r="D22" s="142">
        <f>SUM('.'!D18+'..'!D18+'...'!D18+'.-'!D18+'.-.'!D18+','!D18+'5.1. sz. mell. '!D18+'5.2. sz. mell.  '!D20+'5.3 sz. mell'!D20+'5.4. sz mell'!D20+'5.5. sz. mell.  '!D20+'5.6. sz. mell'!D20+'5.7. sz. mell.'!D20+'5.8. sz. mell.'!D20+'.....'!D18+'5.9. sz. mell.'!D20)</f>
        <v>374032</v>
      </c>
      <c r="E22" s="142">
        <f>SUM('.'!E18+'..'!E18+'...'!E18+'.-'!E18+'.-.'!E18+','!E18+'5.1. sz. mell. '!E18+'5.2. sz. mell.  '!E20+'5.3 sz. mell'!E20+'5.4. sz mell'!E20+'5.5. sz. mell.  '!E20+'5.6. sz. mell'!E20+'5.7. sz. mell.'!E20+'5.8. sz. mell.'!E20+'.....'!E18+'5.9. sz. mell.'!E20)</f>
        <v>385318</v>
      </c>
      <c r="F22" s="142">
        <f>SUM('5.9.b. sz. mell.'!F20)</f>
        <v>0</v>
      </c>
      <c r="G22" s="142">
        <f t="shared" si="1"/>
        <v>0</v>
      </c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f>SUM('.'!D19+'...'!D19+'5.1. sz. mell. '!D19+'5.2. sz. mell.  '!D21)</f>
        <v>53245</v>
      </c>
      <c r="E23" s="142">
        <f>SUM('.'!E19+'...'!E19+'5.1. sz. mell. '!E19+'5.2. sz. mell.  '!E21)</f>
        <v>54476</v>
      </c>
      <c r="F23" s="142"/>
      <c r="G23" s="142">
        <f t="shared" si="1"/>
        <v>0</v>
      </c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>
        <f>'5.7. sz. mell.'!E23</f>
        <v>2090</v>
      </c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6">
        <f>SUM('.....'!D23+'5.9. sz. mell.'!D24)</f>
        <v>5248</v>
      </c>
      <c r="E25" s="146">
        <f>SUM('.....'!E23+'5.9. sz. mell.'!E24+'5.2. sz. mell.  '!E26)+'.....'!E20+'5.10 sz. mell '!E25</f>
        <v>5278</v>
      </c>
      <c r="F25" s="146"/>
      <c r="G25" s="142">
        <f t="shared" si="1"/>
        <v>0</v>
      </c>
    </row>
    <row r="26" spans="1:7" s="96" customFormat="1" ht="15" customHeight="1" thickBot="1" x14ac:dyDescent="0.25">
      <c r="A26" s="1132" t="s">
        <v>12</v>
      </c>
      <c r="B26" s="2"/>
      <c r="C26" s="1142" t="s">
        <v>1487</v>
      </c>
      <c r="D26" s="141">
        <f>SUM(D27)</f>
        <v>0</v>
      </c>
      <c r="E26" s="141">
        <f t="shared" ref="E26:F26" si="2">SUM(E27)</f>
        <v>0</v>
      </c>
      <c r="F26" s="141">
        <f t="shared" si="2"/>
        <v>0</v>
      </c>
      <c r="G26" s="141" t="e">
        <f>F26/E26*100</f>
        <v>#DIV/0!</v>
      </c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6">
        <f>SUM('.'!D25+'..'!D23+'...'!D25+'.-'!D23+'.-.'!D23+','!D23+'5.1. sz. mell. '!D24+'5.2. sz. mell.  '!D29+'5.3 sz. mell'!D28+'5.4. sz mell'!D28+'5.5. sz. mell.  '!D32+'5.6. sz. mell'!D32+'5.7. sz. mell.'!D32+'5.8. sz. mell.'!D32+'.....'!D25+'5.9. sz. mell.'!D32+'5.10 sz. mell '!D32)</f>
        <v>0</v>
      </c>
      <c r="E27" s="146">
        <f>SUM('.'!E25+'..'!E23+'...'!E25+'.-'!E23+'.-.'!E23+','!E23+'5.1. sz. mell. '!E24+'5.2. sz. mell.  '!E29+'5.3 sz. mell'!E28+'5.4. sz mell'!E28+'5.5. sz. mell.  '!E32+'5.6. sz. mell'!E32+'5.7. sz. mell.'!E32+'5.8. sz. mell.'!E32+'.....'!E25+'5.9. sz. mell.'!E32+'5.10 sz. mell '!E32)</f>
        <v>0</v>
      </c>
      <c r="F27" s="146"/>
      <c r="G27" s="146" t="e">
        <f>F27/E27*100</f>
        <v>#DIV/0!</v>
      </c>
    </row>
    <row r="28" spans="1:7" s="99" customFormat="1" ht="15" customHeight="1" thickBot="1" x14ac:dyDescent="0.25">
      <c r="A28" s="1132" t="s">
        <v>68</v>
      </c>
      <c r="B28" s="94"/>
      <c r="C28" s="1156" t="s">
        <v>1505</v>
      </c>
      <c r="D28" s="119"/>
      <c r="E28" s="119"/>
      <c r="F28" s="119"/>
      <c r="G28" s="119" t="e">
        <f t="shared" si="1"/>
        <v>#DIV/0!</v>
      </c>
    </row>
    <row r="29" spans="1:7" s="99" customFormat="1" ht="15" customHeight="1" x14ac:dyDescent="0.2">
      <c r="A29" s="97"/>
      <c r="B29" s="1160" t="s">
        <v>133</v>
      </c>
      <c r="C29" s="1144" t="s">
        <v>1489</v>
      </c>
      <c r="D29" s="142"/>
      <c r="E29" s="142"/>
      <c r="F29" s="142"/>
      <c r="G29" s="142" t="e">
        <f t="shared" si="1"/>
        <v>#DIV/0!</v>
      </c>
    </row>
    <row r="30" spans="1:7" s="99" customFormat="1" ht="15" customHeight="1" x14ac:dyDescent="0.2">
      <c r="A30" s="97"/>
      <c r="B30" s="1160" t="s">
        <v>983</v>
      </c>
      <c r="C30" s="1144" t="s">
        <v>1490</v>
      </c>
      <c r="D30" s="142"/>
      <c r="E30" s="142"/>
      <c r="F30" s="142"/>
      <c r="G30" s="142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42"/>
      <c r="E31" s="142"/>
      <c r="F31" s="142"/>
      <c r="G31" s="142"/>
    </row>
    <row r="32" spans="1:7" s="96" customFormat="1" ht="29.25" customHeight="1" thickBot="1" x14ac:dyDescent="0.25">
      <c r="A32" s="1132" t="s">
        <v>27</v>
      </c>
      <c r="B32" s="1161"/>
      <c r="C32" s="1156" t="s">
        <v>1506</v>
      </c>
      <c r="D32" s="119"/>
      <c r="E32" s="119"/>
      <c r="F32" s="119"/>
      <c r="G32" s="119"/>
    </row>
    <row r="33" spans="1:10" s="96" customFormat="1" ht="30" customHeight="1" thickBot="1" x14ac:dyDescent="0.25">
      <c r="A33" s="1216"/>
      <c r="B33" s="1162" t="s">
        <v>28</v>
      </c>
      <c r="C33" s="1151" t="s">
        <v>1492</v>
      </c>
      <c r="D33" s="1217"/>
      <c r="E33" s="1217"/>
      <c r="F33" s="1217"/>
      <c r="G33" s="1217"/>
    </row>
    <row r="34" spans="1:10" s="96" customFormat="1" ht="15.75" customHeight="1" thickBot="1" x14ac:dyDescent="0.3">
      <c r="A34" s="1216" t="s">
        <v>32</v>
      </c>
      <c r="B34" s="117"/>
      <c r="C34" s="1142" t="s">
        <v>1493</v>
      </c>
      <c r="D34" s="1217"/>
      <c r="E34" s="1217"/>
      <c r="F34" s="1217"/>
      <c r="G34" s="1217"/>
    </row>
    <row r="35" spans="1:10" s="96" customFormat="1" ht="30" customHeight="1" thickBot="1" x14ac:dyDescent="0.25">
      <c r="A35" s="1216"/>
      <c r="B35" s="1164" t="s">
        <v>33</v>
      </c>
      <c r="C35" s="1144" t="s">
        <v>1494</v>
      </c>
      <c r="D35" s="1217"/>
      <c r="E35" s="1217"/>
      <c r="F35" s="1217"/>
      <c r="G35" s="1217"/>
    </row>
    <row r="36" spans="1:10" s="96" customFormat="1" ht="15" customHeight="1" thickBot="1" x14ac:dyDescent="0.3">
      <c r="A36" s="1132" t="s">
        <v>74</v>
      </c>
      <c r="B36" s="117"/>
      <c r="C36" s="1156" t="s">
        <v>1495</v>
      </c>
      <c r="D36" s="148">
        <f>+D37+D38</f>
        <v>0</v>
      </c>
      <c r="E36" s="148">
        <f t="shared" ref="E36" si="3">+E37+E38</f>
        <v>11288</v>
      </c>
      <c r="F36" s="148"/>
      <c r="G36" s="148">
        <f t="shared" si="1"/>
        <v>0</v>
      </c>
    </row>
    <row r="37" spans="1:10" s="96" customFormat="1" ht="15" customHeight="1" thickBot="1" x14ac:dyDescent="0.25">
      <c r="A37" s="1133"/>
      <c r="B37" s="1160" t="s">
        <v>36</v>
      </c>
      <c r="C37" s="1144" t="s">
        <v>1496</v>
      </c>
      <c r="D37" s="401"/>
      <c r="E37" s="401">
        <f>'5.1. sz. mell. '!E26+'5.2. sz. mell.  '!E34+'5.3 sz. mell'!E37+'5.4. sz mell'!E37+'5.5. sz. mell.  '!E34+'5.6. sz. mell'!E34+'5.7. sz. mell.'!E34+'5.8. sz. mell.'!E37+'.....'!E27+'5.9. sz. mell.'!E37+'5.10 sz. mell '!E37</f>
        <v>11288</v>
      </c>
      <c r="F37" s="401"/>
      <c r="G37" s="401">
        <f t="shared" si="1"/>
        <v>0</v>
      </c>
    </row>
    <row r="38" spans="1:10" s="96" customFormat="1" ht="15" customHeight="1" thickBot="1" x14ac:dyDescent="0.25">
      <c r="A38" s="1134"/>
      <c r="B38" s="1160" t="s">
        <v>37</v>
      </c>
      <c r="C38" s="1144" t="s">
        <v>1497</v>
      </c>
      <c r="D38" s="402"/>
      <c r="E38" s="401"/>
      <c r="F38" s="401"/>
      <c r="G38" s="402"/>
    </row>
    <row r="39" spans="1:10" s="99" customFormat="1" ht="15" customHeight="1" thickBot="1" x14ac:dyDescent="0.25">
      <c r="A39" s="116"/>
      <c r="B39" s="1160" t="s">
        <v>1499</v>
      </c>
      <c r="C39" s="1144" t="s">
        <v>1498</v>
      </c>
      <c r="D39" s="353">
        <f>SUM('.'!D29+'..'!D27+'...'!D29+'.-'!D27+'.-.'!D27+','!D27+'5.1. sz. mell. '!D28+'5.2. sz. mell.  '!D36+'5.3 sz. mell'!D39+'5.4. sz mell'!D39+'5.5. sz. mell.  '!D43+'5.6. sz. mell'!D43+'5.7. sz. mell.'!D43+'5.8. sz. mell.'!D39+'.....'!D29+'5.9. sz. mell.'!D39+'5.10 sz. mell '!D39)</f>
        <v>221345</v>
      </c>
      <c r="E39" s="353">
        <f>SUM('.'!E29+'..'!E27+'...'!E29+'.-'!E27+'.-.'!E27+','!E27+'5.1. sz. mell. '!E28+'5.2. sz. mell.  '!E36+'5.3 sz. mell'!E39+'5.4. sz mell'!E39+'5.5. sz. mell.  '!E43+'5.6. sz. mell'!E43+'5.7. sz. mell.'!E43+'5.8. sz. mell.'!E39+'.....'!E29+'5.9. sz. mell.'!E39+'5.10 sz. mell '!E39)</f>
        <v>265646</v>
      </c>
      <c r="F39" s="353">
        <f>SUM('5.9.b. sz. mell.'!F39+'5.10.b. sz. mell'!F39)</f>
        <v>28005</v>
      </c>
      <c r="G39" s="353">
        <f t="shared" si="1"/>
        <v>10.542225367594469</v>
      </c>
      <c r="J39" s="110">
        <f>SUM(F40:F41)</f>
        <v>28005</v>
      </c>
    </row>
    <row r="40" spans="1:10" s="99" customFormat="1" ht="15" customHeight="1" thickBot="1" x14ac:dyDescent="0.25">
      <c r="A40" s="1421"/>
      <c r="B40" s="1413" t="s">
        <v>1777</v>
      </c>
      <c r="C40" s="1414" t="s">
        <v>1775</v>
      </c>
      <c r="D40" s="1224"/>
      <c r="E40" s="1224"/>
      <c r="F40" s="1416">
        <f>SUM('5.9.b. sz. mell.'!F40)</f>
        <v>249</v>
      </c>
      <c r="G40" s="1422"/>
    </row>
    <row r="41" spans="1:10" s="99" customFormat="1" ht="15" customHeight="1" thickBot="1" x14ac:dyDescent="0.25">
      <c r="A41" s="1421"/>
      <c r="B41" s="1417" t="s">
        <v>1778</v>
      </c>
      <c r="C41" s="1418" t="s">
        <v>1776</v>
      </c>
      <c r="D41" s="1224"/>
      <c r="E41" s="1224"/>
      <c r="F41" s="1416">
        <f>SUM('5.9.b. sz. mell.'!F41+'5.10.b. sz. mell'!F39)</f>
        <v>27756</v>
      </c>
      <c r="G41" s="1422"/>
    </row>
    <row r="42" spans="1:10" s="99" customFormat="1" ht="15" customHeight="1" thickBot="1" x14ac:dyDescent="0.3">
      <c r="A42" s="116" t="s">
        <v>38</v>
      </c>
      <c r="B42" s="117"/>
      <c r="C42" s="2"/>
      <c r="D42" s="119"/>
      <c r="E42" s="119"/>
      <c r="F42" s="119"/>
      <c r="G42" s="119"/>
    </row>
    <row r="43" spans="1:10" s="99" customFormat="1" ht="15" customHeight="1" thickBot="1" x14ac:dyDescent="0.25">
      <c r="A43" s="150" t="s">
        <v>88</v>
      </c>
      <c r="B43" s="151"/>
      <c r="C43" s="354" t="s">
        <v>543</v>
      </c>
      <c r="D43" s="152">
        <f>SUM(D8,D19,D28,D32,D36,D39)</f>
        <v>1281024</v>
      </c>
      <c r="E43" s="152" t="e">
        <f>SUM(E8,E19,E28,E32,E36,E39)</f>
        <v>#REF!</v>
      </c>
      <c r="F43" s="152">
        <f>SUM(F8,F19,F28,F32,F36,F39,F42)</f>
        <v>401716</v>
      </c>
      <c r="G43" s="152" t="e">
        <f t="shared" si="1"/>
        <v>#REF!</v>
      </c>
    </row>
    <row r="44" spans="1:10" s="99" customFormat="1" ht="9" customHeight="1" thickBot="1" x14ac:dyDescent="0.25">
      <c r="A44" s="336"/>
      <c r="B44" s="336"/>
      <c r="C44" s="355"/>
      <c r="D44" s="155"/>
      <c r="E44" s="155"/>
      <c r="F44" s="155"/>
      <c r="G44" s="155"/>
    </row>
    <row r="45" spans="1:10" s="89" customFormat="1" ht="15" customHeight="1" thickBot="1" x14ac:dyDescent="0.25">
      <c r="A45" s="150"/>
      <c r="B45" s="151"/>
      <c r="C45" s="387" t="s">
        <v>82</v>
      </c>
      <c r="D45" s="152"/>
      <c r="E45" s="152"/>
      <c r="F45" s="152"/>
      <c r="G45" s="152"/>
    </row>
    <row r="46" spans="1:10" s="125" customFormat="1" ht="15" customHeight="1" thickBot="1" x14ac:dyDescent="0.25">
      <c r="A46" s="1132" t="s">
        <v>2</v>
      </c>
      <c r="B46" s="2"/>
      <c r="C46" s="10" t="s">
        <v>49</v>
      </c>
      <c r="D46" s="36">
        <f>SUM(D47+D48+D49+D51)</f>
        <v>1341706</v>
      </c>
      <c r="E46" s="36" t="e">
        <f>SUM(E47+E48+E49+E51+#REF!)</f>
        <v>#REF!</v>
      </c>
      <c r="F46" s="36">
        <f>SUM(F47+F48+F49+F51)</f>
        <v>399716</v>
      </c>
      <c r="G46" s="36" t="e">
        <f t="shared" si="1"/>
        <v>#REF!</v>
      </c>
    </row>
    <row r="47" spans="1:10" ht="15" customHeight="1" thickBot="1" x14ac:dyDescent="0.25">
      <c r="A47" s="113"/>
      <c r="B47" s="124" t="s">
        <v>50</v>
      </c>
      <c r="C47" s="7" t="s">
        <v>51</v>
      </c>
      <c r="D47" s="107">
        <f>SUM('.'!D35+'..'!D33+'...'!D35+'.-'!D33+'.-.'!D33+','!D33+'5.1. sz. mell. '!D34+'5.2. sz. mell.  '!D48+'5.3 sz. mell'!D47+'5.4. sz mell'!D47+'5.5. sz. mell.  '!D51+'5.6. sz. mell'!D51+'5.7. sz. mell.'!D51+'5.8. sz. mell.'!D46+'.....'!D35+'5.9. sz. mell.'!D46+'5.10 sz. mell '!D45)</f>
        <v>501735</v>
      </c>
      <c r="E47" s="107">
        <f>SUM('.'!E35+'..'!E33+'...'!E35+'.-'!E33+'.-.'!E33+','!E33+'5.1. sz. mell. '!E34+'5.2. sz. mell.  '!E48+'5.3 sz. mell'!E47+'5.4. sz mell'!E47+'5.5. sz. mell.  '!E51+'5.6. sz. mell'!E51+'5.7. sz. mell.'!E51+'5.8. sz. mell.'!E46+'.....'!E35+'5.9. sz. mell.'!E46+'5.10 sz. mell '!E45)</f>
        <v>544278</v>
      </c>
      <c r="F47" s="107">
        <f>SUM('5.9.b. sz. mell.'!F46+'5.10.b. sz. mell'!F44)</f>
        <v>159674</v>
      </c>
      <c r="G47" s="107">
        <f t="shared" si="1"/>
        <v>29.336846244015007</v>
      </c>
    </row>
    <row r="48" spans="1:10" ht="15" customHeight="1" thickBot="1" x14ac:dyDescent="0.25">
      <c r="A48" s="97"/>
      <c r="B48" s="109" t="s">
        <v>52</v>
      </c>
      <c r="C48" s="3" t="s">
        <v>53</v>
      </c>
      <c r="D48" s="27">
        <f>SUM('.'!D37+'..'!D34+'...'!D37+'.-'!D34+'.-.'!D34+','!D34+'5.1. sz. mell. '!D36+'5.2. sz. mell.  '!D50+'5.3 sz. mell'!D48+'5.4. sz mell'!D48+'5.5. sz. mell.  '!D52+'5.6. sz. mell'!D52+'5.7. sz. mell.'!D52+'5.8. sz. mell.'!D47+'.....'!D36+'5.9. sz. mell.'!D47+'5.10 sz. mell '!D46)</f>
        <v>143140</v>
      </c>
      <c r="E48" s="27">
        <f>SUM('.'!E37+'..'!E34+'...'!E37+'.-'!E34+'.-.'!E34+','!E34+'5.1. sz. mell. '!E36+'5.2. sz. mell.  '!E50+'5.3 sz. mell'!E48+'5.4. sz mell'!E48+'5.5. sz. mell.  '!E52+'5.6. sz. mell'!E52+'5.7. sz. mell.'!E52+'5.8. sz. mell.'!E47+'.....'!E36+'5.9. sz. mell.'!E47+'5.10 sz. mell '!E46)</f>
        <v>149845</v>
      </c>
      <c r="F48" s="107">
        <f>SUM('5.9.b. sz. mell.'!F47+'5.10.b. sz. mell'!F45)</f>
        <v>40983</v>
      </c>
      <c r="G48" s="27">
        <f t="shared" si="1"/>
        <v>27.350261937335247</v>
      </c>
    </row>
    <row r="49" spans="1:8" ht="15" customHeight="1" thickBot="1" x14ac:dyDescent="0.25">
      <c r="A49" s="97"/>
      <c r="B49" s="109" t="s">
        <v>54</v>
      </c>
      <c r="C49" s="3" t="s">
        <v>55</v>
      </c>
      <c r="D49" s="27">
        <f>SUM('.'!D39+'..'!D35+'...'!D39+'.-'!D35+'.-.'!D35+','!D35+'5.1. sz. mell. '!D38+'5.2. sz. mell.  '!D52+'5.3 sz. mell'!D49+'5.4. sz mell'!D49+'5.5. sz. mell.  '!D53+'5.6. sz. mell'!D53+'5.7. sz. mell.'!D53+'5.8. sz. mell.'!D48+'.....'!D37+'5.9. sz. mell.'!D48+'5.10 sz. mell '!D47)</f>
        <v>686845</v>
      </c>
      <c r="E49" s="27">
        <f>SUM('.'!E39+'..'!E35+'...'!E39+'.-'!E35+'.-.'!E35+','!E35+'5.1. sz. mell. '!E38+'5.2. sz. mell.  '!E52+'5.3 sz. mell'!E49+'5.4. sz mell'!E49+'5.5. sz. mell.  '!E53+'5.6. sz. mell'!E53+'5.7. sz. mell.'!E53+'5.8. sz. mell.'!E48+'.....'!E37+'5.9. sz. mell.'!E48+'5.10 sz. mell '!E47)</f>
        <v>756293</v>
      </c>
      <c r="F49" s="107">
        <f>SUM('5.9.b. sz. mell.'!F48+'5.10.b. sz. mell'!F46)</f>
        <v>199059</v>
      </c>
      <c r="G49" s="27">
        <f t="shared" si="1"/>
        <v>26.320354677353887</v>
      </c>
    </row>
    <row r="50" spans="1:8" ht="15" customHeight="1" thickBot="1" x14ac:dyDescent="0.25">
      <c r="A50" s="97"/>
      <c r="B50" s="109" t="s">
        <v>56</v>
      </c>
      <c r="C50" s="3" t="s">
        <v>57</v>
      </c>
      <c r="D50" s="27"/>
      <c r="E50" s="27"/>
      <c r="F50" s="107">
        <f>SUM('5.9.b. sz. mell.'!F49+'5.10.b. sz. mell'!F47)</f>
        <v>0</v>
      </c>
      <c r="G50" s="27"/>
    </row>
    <row r="51" spans="1:8" ht="15" customHeight="1" thickBot="1" x14ac:dyDescent="0.25">
      <c r="A51" s="97"/>
      <c r="B51" s="109" t="s">
        <v>58</v>
      </c>
      <c r="C51" s="3" t="s">
        <v>59</v>
      </c>
      <c r="D51" s="27">
        <f>SUM('.....'!D39+'5.9. sz. mell.'!D50)</f>
        <v>9986</v>
      </c>
      <c r="E51" s="27">
        <f>SUM('.....'!E39+'5.9. sz. mell.'!E50)</f>
        <v>9986</v>
      </c>
      <c r="F51" s="107">
        <f>SUM('5.9.b. sz. mell.'!F50+'5.10.b. sz. mell'!F48)</f>
        <v>0</v>
      </c>
      <c r="G51" s="27">
        <f t="shared" si="1"/>
        <v>0</v>
      </c>
    </row>
    <row r="52" spans="1:8" ht="15" customHeight="1" thickBot="1" x14ac:dyDescent="0.25">
      <c r="A52" s="1132" t="s">
        <v>3</v>
      </c>
      <c r="B52" s="2"/>
      <c r="C52" s="10" t="s">
        <v>1513</v>
      </c>
      <c r="D52" s="36">
        <f>SUM(D53:D55)</f>
        <v>0</v>
      </c>
      <c r="E52" s="36">
        <f>SUM(E53:E55)</f>
        <v>9536</v>
      </c>
      <c r="F52" s="36">
        <f>SUM(F53:F55)</f>
        <v>2000</v>
      </c>
      <c r="G52" s="36">
        <f t="shared" si="1"/>
        <v>20.973154362416107</v>
      </c>
    </row>
    <row r="53" spans="1:8" s="125" customFormat="1" ht="15" customHeight="1" x14ac:dyDescent="0.2">
      <c r="A53" s="113"/>
      <c r="B53" s="1165" t="s">
        <v>4</v>
      </c>
      <c r="C53" s="1151" t="s">
        <v>1173</v>
      </c>
      <c r="D53" s="22"/>
      <c r="E53" s="22">
        <f>'5.1. sz. mell. '!E45+'5.2. sz. mell.  '!E57+'5.3 sz. mell'!E53+'5.4. sz mell'!E53+'5.5. sz. mell.  '!E57+'5.6. sz. mell'!E57+'5.7. sz. mell.'!E58+'5.8. sz. mell.'!E52+'.....'!E41+'5.9. sz. mell.'!E52+'5.10 sz. mell '!E51</f>
        <v>9536</v>
      </c>
      <c r="F53" s="22">
        <f>SUM('5.9.b. sz. mell.'!F52+'5.10.b. sz. mell'!F50)</f>
        <v>2000</v>
      </c>
      <c r="G53" s="22">
        <f t="shared" si="1"/>
        <v>20.973154362416107</v>
      </c>
    </row>
    <row r="54" spans="1:8" ht="15" customHeight="1" x14ac:dyDescent="0.2">
      <c r="A54" s="97"/>
      <c r="B54" s="1166" t="s">
        <v>6</v>
      </c>
      <c r="C54" s="1144" t="s">
        <v>64</v>
      </c>
      <c r="D54" s="27"/>
      <c r="E54" s="22">
        <f>'5.1. sz. mell. '!E46+'5.2. sz. mell.  '!E58+'5.3 sz. mell'!E54+'5.4. sz mell'!E54+'5.5. sz. mell.  '!E58+'5.6. sz. mell'!E58+'5.7. sz. mell.'!E59+'5.8. sz. mell.'!E53+'.....'!E42+'5.9. sz. mell.'!E53+'5.10 sz. mell '!E52</f>
        <v>0</v>
      </c>
      <c r="F54" s="22">
        <f>'5.1. sz. mell. '!F46+'5.2. sz. mell.  '!F58+'5.3 sz. mell'!F54+'5.4. sz mell'!F54+'5.5. sz. mell.  '!F58+'5.6. sz. mell'!F58+'5.7. sz. mell.'!F59+'5.8. sz. mell.'!F53+'.....'!F42+'5.9. sz. mell.'!F53+'5.10 sz. mell '!F52</f>
        <v>0</v>
      </c>
      <c r="G54" s="27" t="e">
        <f t="shared" si="1"/>
        <v>#DIV/0!</v>
      </c>
    </row>
    <row r="55" spans="1:8" ht="17.25" customHeight="1" thickBot="1" x14ac:dyDescent="0.25">
      <c r="A55" s="97"/>
      <c r="B55" s="1166" t="s">
        <v>7</v>
      </c>
      <c r="C55" s="1144" t="s">
        <v>1500</v>
      </c>
      <c r="D55" s="27"/>
      <c r="E55" s="27"/>
      <c r="F55" s="27"/>
      <c r="G55" s="27"/>
    </row>
    <row r="56" spans="1:8" ht="15" customHeight="1" thickBot="1" x14ac:dyDescent="0.25">
      <c r="A56" s="1132" t="s">
        <v>12</v>
      </c>
      <c r="B56" s="2"/>
      <c r="C56" s="10" t="s">
        <v>514</v>
      </c>
      <c r="D56" s="128"/>
      <c r="E56" s="128"/>
      <c r="F56" s="128"/>
      <c r="G56" s="128"/>
    </row>
    <row r="57" spans="1:8" s="99" customFormat="1" ht="15" hidden="1" customHeight="1" thickBot="1" x14ac:dyDescent="0.25">
      <c r="A57" s="1132"/>
      <c r="B57" s="2"/>
      <c r="C57" s="10"/>
      <c r="D57" s="119"/>
      <c r="E57" s="119"/>
      <c r="F57" s="119"/>
      <c r="G57" s="119"/>
    </row>
    <row r="58" spans="1:8" ht="15" customHeight="1" thickBot="1" x14ac:dyDescent="0.25">
      <c r="A58" s="150" t="s">
        <v>68</v>
      </c>
      <c r="B58" s="151"/>
      <c r="C58" s="354" t="s">
        <v>516</v>
      </c>
      <c r="D58" s="152">
        <f>+D46+D52+D56</f>
        <v>1341706</v>
      </c>
      <c r="E58" s="152" t="e">
        <f>+E46+E52+E56</f>
        <v>#REF!</v>
      </c>
      <c r="F58" s="152">
        <f>+F46+F52+F56+F57</f>
        <v>401716</v>
      </c>
      <c r="G58" s="152" t="e">
        <f t="shared" si="1"/>
        <v>#REF!</v>
      </c>
    </row>
    <row r="59" spans="1:8" ht="15" customHeight="1" thickBot="1" x14ac:dyDescent="0.25">
      <c r="A59" s="133" t="s">
        <v>136</v>
      </c>
      <c r="B59" s="134"/>
      <c r="C59" s="135"/>
      <c r="D59" s="136">
        <f>SUM('.'!D52+'..'!D47+'...'!D52+'.-'!D47+'.-.'!D47+','!D47+'5.1. sz. mell. '!D53+'5.2. sz. mell.  '!D65+'5.3 sz. mell'!D61+'5.4. sz mell'!D61+'5.5. sz. mell.  '!D65+'5.6. sz. mell'!D65+'5.7. sz. mell.'!D68+'5.8. sz. mell.'!D57+'.....'!D49+'5.9. sz. mell.'!D57+'5.10 sz. mell '!D57)</f>
        <v>247.5</v>
      </c>
      <c r="E59" s="136">
        <f>SUM('.'!E52+'..'!E47+'...'!E52+'.-'!E47+'.-.'!E47+','!E47+'5.1. sz. mell. '!E53+'5.2. sz. mell.  '!E65+'5.3 sz. mell'!E61+'5.4. sz mell'!E61+'5.5. sz. mell.  '!E65+'5.6. sz. mell'!E65+'5.7. sz. mell.'!E68+'5.8. sz. mell.'!E57+'.....'!E49+'5.9. sz. mell.'!E57+'5.10 sz. mell '!E57)</f>
        <v>248.5</v>
      </c>
      <c r="F59" s="136"/>
      <c r="G59" s="136"/>
      <c r="H59" s="99"/>
    </row>
    <row r="60" spans="1:8" ht="15" customHeight="1" thickBot="1" x14ac:dyDescent="0.25">
      <c r="A60" s="133" t="s">
        <v>137</v>
      </c>
      <c r="B60" s="134"/>
      <c r="C60" s="135"/>
      <c r="D60" s="167"/>
      <c r="E60" s="167"/>
      <c r="F60" s="167"/>
      <c r="G60" s="167"/>
      <c r="H60" s="99"/>
    </row>
    <row r="61" spans="1:8" ht="15" customHeight="1" x14ac:dyDescent="0.2"/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35433070866141736" right="0.19685039370078741" top="0.51181102362204722" bottom="0.39370078740157483" header="0.23622047244094491" footer="0.15748031496062992"/>
  <pageSetup paperSize="9" scale="82" firstPageNumber="70" orientation="portrait" r:id="rId1"/>
  <headerFooter alignWithMargins="0">
    <oddFooter>&amp;C-&amp;P -</oddFooter>
  </headerFooter>
  <rowBreaks count="1" manualBreakCount="1">
    <brk id="43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8"/>
  <sheetViews>
    <sheetView view="pageBreakPreview" zoomScaleNormal="130" zoomScaleSheetLayoutView="100" workbookViewId="0">
      <selection activeCell="C6" sqref="C6"/>
    </sheetView>
  </sheetViews>
  <sheetFormatPr defaultRowHeight="12.75" x14ac:dyDescent="0.2"/>
  <cols>
    <col min="1" max="1" width="7.6640625" style="75" customWidth="1"/>
    <col min="2" max="2" width="9.6640625" style="76" customWidth="1"/>
    <col min="3" max="3" width="61.5" style="76" customWidth="1"/>
    <col min="4" max="4" width="15.5" style="76" hidden="1" customWidth="1"/>
    <col min="5" max="5" width="14.5" style="76" hidden="1" customWidth="1"/>
    <col min="6" max="6" width="19" style="76" customWidth="1"/>
    <col min="7" max="7" width="9.6640625" style="76" hidden="1" customWidth="1"/>
    <col min="8" max="9" width="9.33203125" style="76"/>
    <col min="10" max="10" width="9.83203125" style="76" customWidth="1"/>
    <col min="11" max="16384" width="9.33203125" style="76"/>
  </cols>
  <sheetData>
    <row r="1" spans="1:7" s="326" customFormat="1" ht="14.25" customHeight="1" thickBot="1" x14ac:dyDescent="0.25">
      <c r="A1" s="323"/>
      <c r="B1" s="324"/>
      <c r="C1" s="325"/>
      <c r="D1" s="1552" t="s">
        <v>1796</v>
      </c>
      <c r="E1" s="1552"/>
      <c r="F1" s="1552"/>
      <c r="G1" s="1552"/>
    </row>
    <row r="2" spans="1:7" s="79" customFormat="1" ht="31.5" customHeight="1" x14ac:dyDescent="0.2">
      <c r="A2" s="1554" t="s">
        <v>495</v>
      </c>
      <c r="B2" s="1554"/>
      <c r="C2" s="77" t="s">
        <v>534</v>
      </c>
      <c r="D2" s="1523" t="s">
        <v>1024</v>
      </c>
      <c r="E2" s="343"/>
      <c r="F2" s="1523" t="s">
        <v>1420</v>
      </c>
      <c r="G2" s="343"/>
    </row>
    <row r="3" spans="1:7" s="79" customFormat="1" ht="30" customHeight="1" thickBot="1" x14ac:dyDescent="0.25">
      <c r="A3" s="1555" t="s">
        <v>122</v>
      </c>
      <c r="B3" s="1555"/>
      <c r="C3" s="80" t="s">
        <v>1542</v>
      </c>
      <c r="D3" s="1524"/>
      <c r="E3" s="327"/>
      <c r="F3" s="1524"/>
      <c r="G3" s="327"/>
    </row>
    <row r="4" spans="1:7" s="83" customFormat="1" ht="13.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ht="30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89" customFormat="1" ht="12.9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.9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238143</v>
      </c>
      <c r="E8" s="141">
        <f t="shared" ref="E8:F8" si="0">SUM(E9:E18)</f>
        <v>238160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f>SUM('.'!D9+'..'!D9+'...'!D9+'.-'!D9+'.-.'!D9+','!D9+'5.1. sz. mell. '!D9+'5.2. sz. mell.  '!D9+'5.3 sz. mell'!D9+'5.4. sz mell'!D9+'5.5. sz. mell.  '!D9+'5.6. sz. mell'!D9+'5.7. sz. mell.'!D9+'5.8. sz. mell.'!D9+'.....'!D9+'5.9. sz. mell.'!D9+'5.10 sz. mell '!D9)</f>
        <v>0</v>
      </c>
      <c r="E9" s="144">
        <f>SUM('.'!E9+'..'!E9+'...'!E9+'.-'!E9+'.-.'!E9+','!E9+'5.1. sz. mell. '!E9+'5.2. sz. mell.  '!E9+'5.3 sz. mell'!E9+'5.4. sz mell'!E9+'5.5. sz. mell.  '!E9+'5.6. sz. mell'!E9+'5.7. sz. mell.'!E9+'5.8. sz. mell.'!E9+'.....'!E9+'5.9. sz. mell.'!E9+'5.10 sz. mell '!E9)</f>
        <v>0</v>
      </c>
      <c r="F9" s="144">
        <f>SUM('.'!F9+'..'!F9+'...'!F9+'.-'!F9+'.-.'!F9+','!F9+'5.1. sz. mell. '!F9+'5.2. sz. mell.  '!F9+'5.3 sz. mell'!F9+'5.4. sz mell'!F9+'5.5. sz. mell.  '!F9+'5.6. sz. mell'!F9+'5.7. sz. mell.'!F9+'5.8. sz. mell.'!F9+'.....'!F9+'5.9. sz. mell.'!F9+'5.10 sz. mell '!F9)</f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f>SUM('.'!D10+'..'!D10+'...'!D10+'.-'!D10+'.-.'!D10+','!D10+'5.1. sz. mell. '!D10+'5.2. sz. mell.  '!D10+'5.3 sz. mell'!D10+'5.4. sz mell'!D10+'5.5. sz. mell.  '!D10+'5.6. sz. mell'!D10+'5.7. sz. mell.'!D10+'5.8. sz. mell.'!D10+'.....'!D10+'5.9. sz. mell.'!D10+'5.10 sz. mell '!D10)</f>
        <v>184960</v>
      </c>
      <c r="E10" s="142">
        <f>SUM('.'!E10+'..'!E10+'...'!E10+'.-'!E10+'.-.'!E10+','!E10+'5.1. sz. mell. '!E10+'5.2. sz. mell.  '!E10+'5.3 sz. mell'!E10+'5.4. sz mell'!E10+'5.5. sz. mell.  '!E10+'5.6. sz. mell'!E10+'5.7. sz. mell.'!E10+'5.8. sz. mell.'!E10+'.....'!E10+'5.9. sz. mell.'!E10+'5.10 sz. mell '!E10)</f>
        <v>184960</v>
      </c>
      <c r="F10" s="142"/>
      <c r="G10" s="142">
        <f t="shared" ref="G10:G55" si="1"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f>SUM('.'!D11+'..'!D11+'...'!D11+'.-'!D11+'.-.'!D11+','!D11+'5.1. sz. mell. '!D11+'5.2. sz. mell.  '!D11+'5.3 sz. mell'!D11+'5.4. sz mell'!D11+'5.5. sz. mell.  '!D11+'5.6. sz. mell'!D11+'5.7. sz. mell.'!D11+'5.8. sz. mell.'!D11+'.....'!D11+'5.9. sz. mell.'!D11+'5.10 sz. mell '!D11)</f>
        <v>4700</v>
      </c>
      <c r="E11" s="142">
        <f>SUM('.'!E11+'..'!E11+'...'!E11+'.-'!E11+'.-.'!E11+','!E11+'5.1. sz. mell. '!E11+'5.2. sz. mell.  '!E11+'5.3 sz. mell'!E11+'5.4. sz mell'!E11+'5.5. sz. mell.  '!E11+'5.6. sz. mell'!E11+'5.7. sz. mell.'!E11+'5.8. sz. mell.'!E11+'.....'!E11+'5.9. sz. mell.'!E11+'5.10 sz. mell '!E11)</f>
        <v>4700</v>
      </c>
      <c r="F11" s="142"/>
      <c r="G11" s="142">
        <f t="shared" si="1"/>
        <v>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f>SUM('.'!D12+'..'!D12+'...'!D12+'.-'!D12+'.-.'!D12+','!D12+'5.1. sz. mell. '!D12+'5.2. sz. mell.  '!D12+'5.3 sz. mell'!D12+'5.4. sz mell'!D12+'5.5. sz. mell.  '!D12+'5.6. sz. mell'!D12+'5.7. sz. mell.'!D12+'5.8. sz. mell.'!D12+'.....'!D12+'5.9. sz. mell.'!D12+'5.10 sz. mell '!D12)</f>
        <v>2571</v>
      </c>
      <c r="E12" s="142">
        <f>SUM('.'!E12+'..'!E12+'...'!E12+'.-'!E12+'.-.'!E12+','!E12+'5.1. sz. mell. '!E12+'5.2. sz. mell.  '!E12+'5.3 sz. mell'!E12+'5.4. sz mell'!E12+'5.5. sz. mell.  '!E12+'5.6. sz. mell'!E12+'5.7. sz. mell.'!E12+'5.8. sz. mell.'!E12+'.....'!E12+'5.9. sz. mell.'!E12+'5.10 sz. mell '!E12)</f>
        <v>2571</v>
      </c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f>SUM('.'!D13+'..'!D13+'...'!D13+'.-'!D13+'.-.'!D13+','!D13+'5.1. sz. mell. '!D13+'5.2. sz. mell.  '!D13+'5.3 sz. mell'!D13+'5.4. sz mell'!D13+'5.5. sz. mell.  '!D13+'5.6. sz. mell'!D13+'5.7. sz. mell.'!D13+'5.8. sz. mell.'!D13+'.....'!D13+'5.9. sz. mell.'!D13+'5.10 sz. mell '!D13)</f>
        <v>907</v>
      </c>
      <c r="E13" s="142">
        <f>SUM('.'!E13+'..'!E13+'...'!E13+'.-'!E13+'.-.'!E13+','!E13+'5.1. sz. mell. '!E13+'5.2. sz. mell.  '!E13+'5.3 sz. mell'!E13+'5.4. sz mell'!E13+'5.5. sz. mell.  '!E13+'5.6. sz. mell'!E13+'5.7. sz. mell.'!E13+'5.8. sz. mell.'!E13+'.....'!E13+'5.9. sz. mell.'!E13+'5.10 sz. mell '!E13)</f>
        <v>907</v>
      </c>
      <c r="F13" s="142"/>
      <c r="G13" s="142">
        <f t="shared" si="1"/>
        <v>0</v>
      </c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2">
        <f>SUM('.'!D14+'..'!D14+'...'!D14+'.-'!D14+'.-.'!D14+','!D14+'5.1. sz. mell. '!D14+'5.2. sz. mell.  '!D14+'5.3 sz. mell'!D14+'5.4. sz mell'!D14+'5.5. sz. mell.  '!D14+'5.6. sz. mell'!D14+'5.7. sz. mell.'!D14+'5.8. sz. mell.'!D14+'.....'!D14+'5.9. sz. mell.'!D14+'5.10 sz. mell '!D14)</f>
        <v>45005</v>
      </c>
      <c r="E14" s="142">
        <f>SUM('.'!E14+'..'!E14+'...'!E14+'.-'!E14+'.-.'!E14+','!E14+'5.1. sz. mell. '!E14+'5.2. sz. mell.  '!E14+'5.3 sz. mell'!E14+'5.4. sz mell'!E14+'5.5. sz. mell.  '!E14+'5.6. sz. mell'!E14+'5.7. sz. mell.'!E14+'5.8. sz. mell.'!E14+'.....'!E14+'5.9. sz. mell.'!E14+'5.10 sz. mell '!E14)</f>
        <v>45005</v>
      </c>
      <c r="F14" s="142"/>
      <c r="G14" s="142">
        <f t="shared" si="1"/>
        <v>0</v>
      </c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f>SUM('.'!D15+'..'!D15+'...'!D15+'.-'!D15+'.-.'!D15+','!D15+'5.1. sz. mell. '!D15+'5.2. sz. mell.  '!D16+'5.3 sz. mell'!D16+'5.4. sz mell'!D16+'5.5. sz. mell.  '!D16+'5.6. sz. mell'!D16+'5.7. sz. mell.'!D16+'5.8. sz. mell.'!D15+'.....'!D15+'5.9. sz. mell.'!D15+'5.10 sz. mell '!D15)</f>
        <v>0</v>
      </c>
      <c r="E15" s="142">
        <f>SUM('.'!E15+'..'!E15+'...'!E15+'.-'!E15+'.-.'!E15+','!E15+'5.1. sz. mell. '!E15+'5.2. sz. mell.  '!E16+'5.3 sz. mell'!E16+'5.4. sz mell'!E16+'5.5. sz. mell.  '!E16+'5.6. sz. mell'!E16+'5.7. sz. mell.'!E16+'5.8. sz. mell.'!E15+'.....'!E15+'5.9. sz. mell.'!E15+'5.10 sz. mell '!E15)</f>
        <v>17</v>
      </c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46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6">
        <f>SUM('.'!D16+'..'!D16+'...'!D16+'.-'!D16+'.-.'!D16+','!D16+'5.1. sz. mell. '!D16+'5.2. sz. mell.  '!D18+'5.3 sz. mell'!D18+'5.4. sz mell'!D18+'5.5. sz. mell.  '!D18+'5.6. sz. mell'!D18+'5.7. sz. mell.'!D18+'5.8. sz. mell.'!D18+'.....'!D16+'5.9. sz. mell.'!D18+'5.10 sz. mell '!D18)</f>
        <v>0</v>
      </c>
      <c r="E18" s="146">
        <f>SUM('.'!E16+'..'!E16+'...'!E16+'.-'!E16+'.-.'!E16+','!E16+'5.1. sz. mell. '!E16+'5.2. sz. mell.  '!E18+'5.3 sz. mell'!E18+'5.4. sz mell'!E18+'5.5. sz. mell.  '!E18+'5.6. sz. mell'!E18+'5.7. sz. mell.'!E18+'5.8. sz. mell.'!E18+'.....'!E16+'5.9. sz. mell.'!E18+'5.10 sz. mell '!E18)</f>
        <v>0</v>
      </c>
      <c r="F18" s="146">
        <f>SUM('.'!F16+'..'!F16+'...'!F16+'.-'!F16+'.-.'!F16+','!F16+'5.1. sz. mell. '!F16+'5.2. sz. mell.  '!F18+'5.3 sz. mell'!F18+'5.4. sz mell'!F18+'5.5. sz. mell.  '!F18+'5.6. sz. mell'!F18+'5.7. sz. mell.'!F18+'5.8. sz. mell.'!F18+'.....'!F16+'5.9. sz. mell.'!F18+'5.10 sz. mell '!F18)</f>
        <v>0</v>
      </c>
      <c r="G18" s="146" t="e">
        <f t="shared" si="1"/>
        <v>#DIV/0!</v>
      </c>
    </row>
    <row r="19" spans="1:7" s="96" customFormat="1" ht="30.75" customHeight="1" thickBot="1" x14ac:dyDescent="0.25">
      <c r="A19" s="1132" t="s">
        <v>3</v>
      </c>
      <c r="B19" s="94"/>
      <c r="C19" s="1142" t="s">
        <v>1482</v>
      </c>
      <c r="D19" s="141">
        <f>SUM(D20:D25)-D23</f>
        <v>821536</v>
      </c>
      <c r="E19" s="141" t="e">
        <f>SUM(E20:E25)-E23-#REF!</f>
        <v>#REF!</v>
      </c>
      <c r="F19" s="141">
        <f>SUM(F20:F25)-F23</f>
        <v>0</v>
      </c>
      <c r="G19" s="141" t="e">
        <f t="shared" si="1"/>
        <v>#REF!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4"/>
      <c r="E20" s="144"/>
      <c r="F20" s="144"/>
      <c r="G20" s="144" t="e">
        <f t="shared" si="1"/>
        <v>#DIV/0!</v>
      </c>
    </row>
    <row r="21" spans="1:7" s="99" customFormat="1" ht="20.25" customHeight="1" x14ac:dyDescent="0.2">
      <c r="A21" s="97"/>
      <c r="B21" s="1148" t="s">
        <v>239</v>
      </c>
      <c r="C21" s="1152" t="s">
        <v>34</v>
      </c>
      <c r="D21" s="147">
        <f>SUM('5.10 sz. mell '!D21)</f>
        <v>442256</v>
      </c>
      <c r="E21" s="147">
        <f>SUM('5.10 sz. mell '!E21)</f>
        <v>442256</v>
      </c>
      <c r="F21" s="147"/>
      <c r="G21" s="147">
        <f t="shared" si="1"/>
        <v>0</v>
      </c>
    </row>
    <row r="22" spans="1:7" s="99" customFormat="1" ht="35.25" customHeight="1" x14ac:dyDescent="0.2">
      <c r="A22" s="97"/>
      <c r="B22" s="1148" t="s">
        <v>255</v>
      </c>
      <c r="C22" s="1152" t="s">
        <v>1484</v>
      </c>
      <c r="D22" s="142">
        <f>SUM('.'!D18+'..'!D18+'...'!D18+'.-'!D18+'.-.'!D18+','!D18+'5.1. sz. mell. '!D18+'5.2. sz. mell.  '!D20+'5.3 sz. mell'!D20+'5.4. sz mell'!D20+'5.5. sz. mell.  '!D20+'5.6. sz. mell'!D20+'5.7. sz. mell.'!D20+'5.8. sz. mell.'!D20+'.....'!D18+'5.9. sz. mell.'!D20)</f>
        <v>374032</v>
      </c>
      <c r="E22" s="142">
        <f>SUM('.'!E18+'..'!E18+'...'!E18+'.-'!E18+'.-.'!E18+','!E18+'5.1. sz. mell. '!E18+'5.2. sz. mell.  '!E20+'5.3 sz. mell'!E20+'5.4. sz mell'!E20+'5.5. sz. mell.  '!E20+'5.6. sz. mell'!E20+'5.7. sz. mell.'!E20+'5.8. sz. mell.'!E20+'.....'!E18+'5.9. sz. mell.'!E20)</f>
        <v>385318</v>
      </c>
      <c r="F22" s="142"/>
      <c r="G22" s="142">
        <f t="shared" si="1"/>
        <v>0</v>
      </c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f>SUM('.'!D19+'...'!D19+'5.1. sz. mell. '!D19+'5.2. sz. mell.  '!D21)</f>
        <v>53245</v>
      </c>
      <c r="E23" s="142">
        <f>SUM('.'!E19+'...'!E19+'5.1. sz. mell. '!E19+'5.2. sz. mell.  '!E21)</f>
        <v>54476</v>
      </c>
      <c r="F23" s="142"/>
      <c r="G23" s="142">
        <f t="shared" si="1"/>
        <v>0</v>
      </c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/>
      <c r="E24" s="142">
        <f>'5.7. sz. mell.'!E23</f>
        <v>2090</v>
      </c>
      <c r="F24" s="142"/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6">
        <f>SUM('.....'!D23+'5.9. sz. mell.'!D24)</f>
        <v>5248</v>
      </c>
      <c r="E25" s="146">
        <f>SUM('.....'!E23+'5.9. sz. mell.'!E24+'5.2. sz. mell.  '!E26)+'.....'!E20+'5.10 sz. mell '!E25</f>
        <v>5278</v>
      </c>
      <c r="F25" s="146"/>
      <c r="G25" s="142">
        <f t="shared" si="1"/>
        <v>0</v>
      </c>
    </row>
    <row r="26" spans="1:7" s="96" customFormat="1" ht="15" customHeight="1" thickBot="1" x14ac:dyDescent="0.25">
      <c r="A26" s="1132" t="s">
        <v>12</v>
      </c>
      <c r="B26" s="2"/>
      <c r="C26" s="1142" t="s">
        <v>1487</v>
      </c>
      <c r="D26" s="141">
        <f>SUM(D27)</f>
        <v>0</v>
      </c>
      <c r="E26" s="141">
        <f t="shared" ref="E26:F26" si="2">SUM(E27)</f>
        <v>0</v>
      </c>
      <c r="F26" s="141">
        <f t="shared" si="2"/>
        <v>0</v>
      </c>
      <c r="G26" s="141" t="e">
        <f>F26/E26*100</f>
        <v>#DIV/0!</v>
      </c>
    </row>
    <row r="27" spans="1:7" s="99" customFormat="1" ht="15" customHeight="1" thickBot="1" x14ac:dyDescent="0.25">
      <c r="A27" s="97"/>
      <c r="B27" s="1148" t="s">
        <v>13</v>
      </c>
      <c r="C27" s="1144" t="s">
        <v>1488</v>
      </c>
      <c r="D27" s="146">
        <f>SUM('.'!D25+'..'!D23+'...'!D25+'.-'!D23+'.-.'!D23+','!D23+'5.1. sz. mell. '!D24+'5.2. sz. mell.  '!D29+'5.3 sz. mell'!D28+'5.4. sz mell'!D28+'5.5. sz. mell.  '!D32+'5.6. sz. mell'!D32+'5.7. sz. mell.'!D32+'5.8. sz. mell.'!D32+'.....'!D25+'5.9. sz. mell.'!D32+'5.10 sz. mell '!D32)</f>
        <v>0</v>
      </c>
      <c r="E27" s="146">
        <f>SUM('.'!E25+'..'!E23+'...'!E25+'.-'!E23+'.-.'!E23+','!E23+'5.1. sz. mell. '!E24+'5.2. sz. mell.  '!E29+'5.3 sz. mell'!E28+'5.4. sz mell'!E28+'5.5. sz. mell.  '!E32+'5.6. sz. mell'!E32+'5.7. sz. mell.'!E32+'5.8. sz. mell.'!E32+'.....'!E25+'5.9. sz. mell.'!E32+'5.10 sz. mell '!E32)</f>
        <v>0</v>
      </c>
      <c r="F27" s="146">
        <f>SUM('.'!F25+'..'!F23+'...'!F25+'.-'!F23+'.-.'!F23+','!F23+'5.1. sz. mell. '!F24+'5.2. sz. mell.  '!F29+'5.3 sz. mell'!F28+'5.4. sz mell'!F28+'5.5. sz. mell.  '!F32+'5.6. sz. mell'!F32+'5.7. sz. mell.'!F32+'5.8. sz. mell.'!F32+'.....'!F25+'5.9. sz. mell.'!F32+'5.10 sz. mell '!F32)</f>
        <v>0</v>
      </c>
      <c r="G27" s="146" t="e">
        <f>F27/E27*100</f>
        <v>#DIV/0!</v>
      </c>
    </row>
    <row r="28" spans="1:7" s="99" customFormat="1" ht="15" customHeight="1" thickBot="1" x14ac:dyDescent="0.25">
      <c r="A28" s="1132" t="s">
        <v>68</v>
      </c>
      <c r="B28" s="94"/>
      <c r="C28" s="1156" t="s">
        <v>1505</v>
      </c>
      <c r="D28" s="119"/>
      <c r="E28" s="119"/>
      <c r="F28" s="119"/>
      <c r="G28" s="119" t="e">
        <f t="shared" si="1"/>
        <v>#DIV/0!</v>
      </c>
    </row>
    <row r="29" spans="1:7" s="99" customFormat="1" ht="15" customHeight="1" x14ac:dyDescent="0.2">
      <c r="A29" s="97"/>
      <c r="B29" s="1160" t="s">
        <v>133</v>
      </c>
      <c r="C29" s="1144" t="s">
        <v>1489</v>
      </c>
      <c r="D29" s="142"/>
      <c r="E29" s="142"/>
      <c r="F29" s="142"/>
      <c r="G29" s="142" t="e">
        <f t="shared" si="1"/>
        <v>#DIV/0!</v>
      </c>
    </row>
    <row r="30" spans="1:7" s="99" customFormat="1" ht="15" customHeight="1" x14ac:dyDescent="0.2">
      <c r="A30" s="97"/>
      <c r="B30" s="1160" t="s">
        <v>983</v>
      </c>
      <c r="C30" s="1144" t="s">
        <v>1490</v>
      </c>
      <c r="D30" s="142"/>
      <c r="E30" s="142"/>
      <c r="F30" s="142"/>
      <c r="G30" s="142"/>
    </row>
    <row r="31" spans="1:7" s="99" customFormat="1" ht="15" customHeight="1" thickBot="1" x14ac:dyDescent="0.25">
      <c r="A31" s="97"/>
      <c r="B31" s="1160" t="s">
        <v>149</v>
      </c>
      <c r="C31" s="1144" t="s">
        <v>1491</v>
      </c>
      <c r="D31" s="142"/>
      <c r="E31" s="142"/>
      <c r="F31" s="142"/>
      <c r="G31" s="142"/>
    </row>
    <row r="32" spans="1:7" s="96" customFormat="1" ht="30" customHeight="1" thickBot="1" x14ac:dyDescent="0.25">
      <c r="A32" s="1132" t="s">
        <v>27</v>
      </c>
      <c r="B32" s="1161"/>
      <c r="C32" s="1156" t="s">
        <v>1506</v>
      </c>
      <c r="D32" s="119"/>
      <c r="E32" s="119"/>
      <c r="F32" s="119"/>
      <c r="G32" s="119"/>
    </row>
    <row r="33" spans="1:7" s="96" customFormat="1" ht="31.5" customHeight="1" thickBot="1" x14ac:dyDescent="0.25">
      <c r="A33" s="1216"/>
      <c r="B33" s="1162" t="s">
        <v>28</v>
      </c>
      <c r="C33" s="1151" t="s">
        <v>1492</v>
      </c>
      <c r="D33" s="1217"/>
      <c r="E33" s="1217"/>
      <c r="F33" s="1217"/>
      <c r="G33" s="1217"/>
    </row>
    <row r="34" spans="1:7" s="96" customFormat="1" ht="17.25" customHeight="1" thickBot="1" x14ac:dyDescent="0.3">
      <c r="A34" s="1216" t="s">
        <v>32</v>
      </c>
      <c r="B34" s="117"/>
      <c r="C34" s="1142" t="s">
        <v>1493</v>
      </c>
      <c r="D34" s="1217"/>
      <c r="E34" s="1217"/>
      <c r="F34" s="1217"/>
      <c r="G34" s="1217"/>
    </row>
    <row r="35" spans="1:7" s="96" customFormat="1" ht="32.25" customHeight="1" thickBot="1" x14ac:dyDescent="0.25">
      <c r="A35" s="1132" t="s">
        <v>32</v>
      </c>
      <c r="B35" s="1164" t="s">
        <v>33</v>
      </c>
      <c r="C35" s="1144" t="s">
        <v>1494</v>
      </c>
      <c r="D35" s="148">
        <f>+D36+D37</f>
        <v>0</v>
      </c>
      <c r="E35" s="148">
        <f t="shared" ref="E35:F35" si="3">+E36+E37</f>
        <v>11288</v>
      </c>
      <c r="F35" s="148">
        <f t="shared" si="3"/>
        <v>0</v>
      </c>
      <c r="G35" s="148">
        <f t="shared" si="1"/>
        <v>0</v>
      </c>
    </row>
    <row r="36" spans="1:7" s="96" customFormat="1" ht="15" customHeight="1" thickBot="1" x14ac:dyDescent="0.3">
      <c r="A36" s="1133"/>
      <c r="B36" s="117"/>
      <c r="C36" s="1156" t="s">
        <v>1495</v>
      </c>
      <c r="D36" s="401"/>
      <c r="E36" s="401">
        <f>'5.1. sz. mell. '!E26+'5.2. sz. mell.  '!E34+'5.3 sz. mell'!E37+'5.4. sz mell'!E37+'5.5. sz. mell.  '!E34+'5.6. sz. mell'!E34+'5.7. sz. mell.'!E34+'5.8. sz. mell.'!E37+'.....'!E27+'5.9. sz. mell.'!E37+'5.10 sz. mell '!E37</f>
        <v>11288</v>
      </c>
      <c r="F36" s="401">
        <f>'5.1. sz. mell. '!F26+'5.2. sz. mell.  '!F34+'5.3 sz. mell'!F37+'5.4. sz mell'!F37+'5.5. sz. mell.  '!F34+'5.6. sz. mell'!F34+'5.7. sz. mell.'!F34+'5.8. sz. mell.'!F37+'.....'!F27+'5.9. sz. mell.'!F37+'5.10 sz. mell '!F37</f>
        <v>0</v>
      </c>
      <c r="G36" s="401">
        <f t="shared" si="1"/>
        <v>0</v>
      </c>
    </row>
    <row r="37" spans="1:7" s="96" customFormat="1" ht="15" customHeight="1" thickBot="1" x14ac:dyDescent="0.25">
      <c r="A37" s="1134"/>
      <c r="B37" s="1160" t="s">
        <v>36</v>
      </c>
      <c r="C37" s="1144" t="s">
        <v>1496</v>
      </c>
      <c r="D37" s="402"/>
      <c r="E37" s="401">
        <f>'5.1. sz. mell. '!E27+'5.2. sz. mell.  '!E35+'5.3 sz. mell'!E38+'5.4. sz mell'!E38+'5.5. sz. mell.  '!E35+'5.6. sz. mell'!E35+'5.7. sz. mell.'!E35+'5.8. sz. mell.'!E38+'.....'!E28+'5.9. sz. mell.'!E38+'5.10 sz. mell '!E38</f>
        <v>0</v>
      </c>
      <c r="F37" s="401">
        <f>'5.1. sz. mell. '!F27+'5.2. sz. mell.  '!F35+'5.3 sz. mell'!F38+'5.4. sz mell'!F38+'5.5. sz. mell.  '!F35+'5.6. sz. mell'!F35+'5.7. sz. mell.'!F35+'5.8. sz. mell.'!F38+'.....'!F28+'5.9. sz. mell.'!F38+'5.10 sz. mell '!F38</f>
        <v>0</v>
      </c>
      <c r="G37" s="402"/>
    </row>
    <row r="38" spans="1:7" s="99" customFormat="1" ht="15" customHeight="1" thickBot="1" x14ac:dyDescent="0.25">
      <c r="A38" s="116" t="s">
        <v>74</v>
      </c>
      <c r="B38" s="1160" t="s">
        <v>37</v>
      </c>
      <c r="C38" s="1144" t="s">
        <v>1497</v>
      </c>
      <c r="D38" s="353">
        <f>SUM('.'!D29+'..'!D27+'...'!D29+'.-'!D27+'.-.'!D27+','!D27+'5.1. sz. mell. '!D28+'5.2. sz. mell.  '!D36+'5.3 sz. mell'!D39+'5.4. sz mell'!D39+'5.5. sz. mell.  '!D43+'5.6. sz. mell'!D43+'5.7. sz. mell.'!D43+'5.8. sz. mell.'!D39+'.....'!D29+'5.9. sz. mell.'!D39+'5.10 sz. mell '!D39)</f>
        <v>221345</v>
      </c>
      <c r="E38" s="353">
        <f>SUM('.'!E29+'..'!E27+'...'!E29+'.-'!E27+'.-.'!E27+','!E27+'5.1. sz. mell. '!E28+'5.2. sz. mell.  '!E36+'5.3 sz. mell'!E39+'5.4. sz mell'!E39+'5.5. sz. mell.  '!E43+'5.6. sz. mell'!E43+'5.7. sz. mell.'!E43+'5.8. sz. mell.'!E39+'.....'!E29+'5.9. sz. mell.'!E39+'5.10 sz. mell '!E39)</f>
        <v>265646</v>
      </c>
      <c r="F38" s="353"/>
      <c r="G38" s="353">
        <f t="shared" si="1"/>
        <v>0</v>
      </c>
    </row>
    <row r="39" spans="1:7" s="99" customFormat="1" ht="15" customHeight="1" thickBot="1" x14ac:dyDescent="0.25">
      <c r="A39" s="116"/>
      <c r="B39" s="1160" t="s">
        <v>1499</v>
      </c>
      <c r="C39" s="1144" t="s">
        <v>1498</v>
      </c>
      <c r="D39" s="119"/>
      <c r="E39" s="119"/>
      <c r="F39" s="119"/>
      <c r="G39" s="119"/>
    </row>
    <row r="40" spans="1:7" s="99" customFormat="1" ht="15" customHeight="1" thickBot="1" x14ac:dyDescent="0.25">
      <c r="A40" s="150" t="s">
        <v>38</v>
      </c>
      <c r="B40" s="151"/>
      <c r="C40" s="354" t="s">
        <v>510</v>
      </c>
      <c r="D40" s="152">
        <f>SUM(D8,D19,D28,D32,D35,D38)</f>
        <v>1281024</v>
      </c>
      <c r="E40" s="152" t="e">
        <f>SUM(E8,E19,E28,E32,E35,E38)</f>
        <v>#REF!</v>
      </c>
      <c r="F40" s="152">
        <f>SUM(F8,F19,F28,F32,F35,F38,F39)</f>
        <v>0</v>
      </c>
      <c r="G40" s="152" t="e">
        <f t="shared" si="1"/>
        <v>#REF!</v>
      </c>
    </row>
    <row r="41" spans="1:7" s="99" customFormat="1" ht="9" customHeight="1" thickBot="1" x14ac:dyDescent="0.25">
      <c r="A41" s="336"/>
      <c r="B41" s="336"/>
      <c r="C41" s="355"/>
      <c r="D41" s="155"/>
      <c r="E41" s="155"/>
      <c r="F41" s="155"/>
      <c r="G41" s="155"/>
    </row>
    <row r="42" spans="1:7" s="89" customFormat="1" ht="15" customHeight="1" thickBot="1" x14ac:dyDescent="0.25">
      <c r="A42" s="150"/>
      <c r="B42" s="151"/>
      <c r="C42" s="387" t="s">
        <v>82</v>
      </c>
      <c r="D42" s="152"/>
      <c r="E42" s="152"/>
      <c r="F42" s="152"/>
      <c r="G42" s="152"/>
    </row>
    <row r="43" spans="1:7" s="125" customFormat="1" ht="15" customHeight="1" thickBot="1" x14ac:dyDescent="0.25">
      <c r="A43" s="1132" t="s">
        <v>2</v>
      </c>
      <c r="B43" s="2"/>
      <c r="C43" s="10" t="s">
        <v>49</v>
      </c>
      <c r="D43" s="36">
        <f>SUM(D44+D45+D46+D48)</f>
        <v>1341706</v>
      </c>
      <c r="E43" s="36" t="e">
        <f>SUM(E44+E45+E46+E48+#REF!)</f>
        <v>#REF!</v>
      </c>
      <c r="F43" s="36">
        <f>SUM(F44+F45+F46+F48+F47)</f>
        <v>0</v>
      </c>
      <c r="G43" s="36" t="e">
        <f t="shared" si="1"/>
        <v>#REF!</v>
      </c>
    </row>
    <row r="44" spans="1:7" ht="15" customHeight="1" x14ac:dyDescent="0.2">
      <c r="A44" s="113"/>
      <c r="B44" s="1165" t="s">
        <v>50</v>
      </c>
      <c r="C44" s="7" t="s">
        <v>51</v>
      </c>
      <c r="D44" s="107">
        <f>SUM('.'!D35+'..'!D33+'...'!D35+'.-'!D33+'.-.'!D33+','!D33+'5.1. sz. mell. '!D34+'5.2. sz. mell.  '!D48+'5.3 sz. mell'!D47+'5.4. sz mell'!D47+'5.5. sz. mell.  '!D51+'5.6. sz. mell'!D51+'5.7. sz. mell.'!D51+'5.8. sz. mell.'!D46+'.....'!D35+'5.9. sz. mell.'!D46+'5.10 sz. mell '!D45)</f>
        <v>501735</v>
      </c>
      <c r="E44" s="107">
        <f>SUM('.'!E35+'..'!E33+'...'!E35+'.-'!E33+'.-.'!E33+','!E33+'5.1. sz. mell. '!E34+'5.2. sz. mell.  '!E48+'5.3 sz. mell'!E47+'5.4. sz mell'!E47+'5.5. sz. mell.  '!E51+'5.6. sz. mell'!E51+'5.7. sz. mell.'!E51+'5.8. sz. mell.'!E46+'.....'!E35+'5.9. sz. mell.'!E46+'5.10 sz. mell '!E45)</f>
        <v>544278</v>
      </c>
      <c r="F44" s="107"/>
      <c r="G44" s="107">
        <f t="shared" si="1"/>
        <v>0</v>
      </c>
    </row>
    <row r="45" spans="1:7" ht="15" customHeight="1" x14ac:dyDescent="0.2">
      <c r="A45" s="97"/>
      <c r="B45" s="1166" t="s">
        <v>52</v>
      </c>
      <c r="C45" s="3" t="s">
        <v>53</v>
      </c>
      <c r="D45" s="27">
        <f>SUM('.'!D37+'..'!D34+'...'!D37+'.-'!D34+'.-.'!D34+','!D34+'5.1. sz. mell. '!D36+'5.2. sz. mell.  '!D50+'5.3 sz. mell'!D48+'5.4. sz mell'!D48+'5.5. sz. mell.  '!D52+'5.6. sz. mell'!D52+'5.7. sz. mell.'!D52+'5.8. sz. mell.'!D47+'.....'!D36+'5.9. sz. mell.'!D47+'5.10 sz. mell '!D46)</f>
        <v>143140</v>
      </c>
      <c r="E45" s="27">
        <f>SUM('.'!E37+'..'!E34+'...'!E37+'.-'!E34+'.-.'!E34+','!E34+'5.1. sz. mell. '!E36+'5.2. sz. mell.  '!E50+'5.3 sz. mell'!E48+'5.4. sz mell'!E48+'5.5. sz. mell.  '!E52+'5.6. sz. mell'!E52+'5.7. sz. mell.'!E52+'5.8. sz. mell.'!E47+'.....'!E36+'5.9. sz. mell.'!E47+'5.10 sz. mell '!E46)</f>
        <v>149845</v>
      </c>
      <c r="F45" s="27"/>
      <c r="G45" s="27">
        <f t="shared" si="1"/>
        <v>0</v>
      </c>
    </row>
    <row r="46" spans="1:7" ht="15" customHeight="1" x14ac:dyDescent="0.2">
      <c r="A46" s="97"/>
      <c r="B46" s="1166" t="s">
        <v>54</v>
      </c>
      <c r="C46" s="3" t="s">
        <v>55</v>
      </c>
      <c r="D46" s="27">
        <f>SUM('.'!D39+'..'!D35+'...'!D39+'.-'!D35+'.-.'!D35+','!D35+'5.1. sz. mell. '!D38+'5.2. sz. mell.  '!D52+'5.3 sz. mell'!D49+'5.4. sz mell'!D49+'5.5. sz. mell.  '!D53+'5.6. sz. mell'!D53+'5.7. sz. mell.'!D53+'5.8. sz. mell.'!D48+'.....'!D37+'5.9. sz. mell.'!D48+'5.10 sz. mell '!D47)</f>
        <v>686845</v>
      </c>
      <c r="E46" s="27">
        <f>SUM('.'!E39+'..'!E35+'...'!E39+'.-'!E35+'.-.'!E35+','!E35+'5.1. sz. mell. '!E38+'5.2. sz. mell.  '!E52+'5.3 sz. mell'!E49+'5.4. sz mell'!E49+'5.5. sz. mell.  '!E53+'5.6. sz. mell'!E53+'5.7. sz. mell.'!E53+'5.8. sz. mell.'!E48+'.....'!E37+'5.9. sz. mell.'!E48+'5.10 sz. mell '!E47)</f>
        <v>756293</v>
      </c>
      <c r="F46" s="27"/>
      <c r="G46" s="27">
        <f t="shared" si="1"/>
        <v>0</v>
      </c>
    </row>
    <row r="47" spans="1:7" ht="15" customHeight="1" x14ac:dyDescent="0.2">
      <c r="A47" s="97"/>
      <c r="B47" s="1166" t="s">
        <v>56</v>
      </c>
      <c r="C47" s="3" t="s">
        <v>57</v>
      </c>
      <c r="D47" s="27"/>
      <c r="E47" s="27"/>
      <c r="F47" s="27"/>
      <c r="G47" s="27"/>
    </row>
    <row r="48" spans="1:7" ht="15" customHeight="1" thickBot="1" x14ac:dyDescent="0.25">
      <c r="A48" s="97"/>
      <c r="B48" s="1166" t="s">
        <v>227</v>
      </c>
      <c r="C48" s="3" t="s">
        <v>59</v>
      </c>
      <c r="D48" s="27">
        <f>SUM('.....'!D39+'5.9. sz. mell.'!D50)</f>
        <v>9986</v>
      </c>
      <c r="E48" s="27">
        <f>SUM('.....'!E39+'5.9. sz. mell.'!E50)</f>
        <v>9986</v>
      </c>
      <c r="F48" s="27">
        <f>SUM('.....'!F39+'5.9. sz. mell.'!F50)</f>
        <v>0</v>
      </c>
      <c r="G48" s="27">
        <f t="shared" si="1"/>
        <v>0</v>
      </c>
    </row>
    <row r="49" spans="1:8" ht="15" customHeight="1" thickBot="1" x14ac:dyDescent="0.25">
      <c r="A49" s="1132" t="s">
        <v>3</v>
      </c>
      <c r="B49" s="2"/>
      <c r="C49" s="10" t="s">
        <v>1513</v>
      </c>
      <c r="D49" s="36">
        <f>SUM(D50:D52)</f>
        <v>0</v>
      </c>
      <c r="E49" s="36">
        <f>SUM(E50:E52)</f>
        <v>0</v>
      </c>
      <c r="F49" s="36">
        <f>SUM(F50:F52)</f>
        <v>0</v>
      </c>
      <c r="G49" s="36" t="e">
        <f t="shared" si="1"/>
        <v>#DIV/0!</v>
      </c>
    </row>
    <row r="50" spans="1:8" ht="15" customHeight="1" x14ac:dyDescent="0.2">
      <c r="A50" s="97"/>
      <c r="B50" s="1165" t="s">
        <v>4</v>
      </c>
      <c r="C50" s="1151" t="s">
        <v>1173</v>
      </c>
      <c r="D50" s="27"/>
      <c r="E50" s="22">
        <f>'5.1. sz. mell. '!E46+'5.2. sz. mell.  '!E58+'5.3 sz. mell'!E54+'5.4. sz mell'!E54+'5.5. sz. mell.  '!E58+'5.6. sz. mell'!E58+'5.7. sz. mell.'!E59+'5.8. sz. mell.'!E53+'.....'!E42+'5.9. sz. mell.'!E53+'5.10 sz. mell '!E52</f>
        <v>0</v>
      </c>
      <c r="F50" s="22">
        <f>'5.1. sz. mell. '!F46+'5.2. sz. mell.  '!F58+'5.3 sz. mell'!F54+'5.4. sz mell'!F54+'5.5. sz. mell.  '!F58+'5.6. sz. mell'!F58+'5.7. sz. mell.'!F59+'5.8. sz. mell.'!F53+'.....'!F42+'5.9. sz. mell.'!F53+'5.10 sz. mell '!F52</f>
        <v>0</v>
      </c>
      <c r="G50" s="27" t="e">
        <f t="shared" si="1"/>
        <v>#DIV/0!</v>
      </c>
    </row>
    <row r="51" spans="1:8" ht="15" customHeight="1" x14ac:dyDescent="0.2">
      <c r="A51" s="97"/>
      <c r="B51" s="1166" t="s">
        <v>6</v>
      </c>
      <c r="C51" s="1144" t="s">
        <v>64</v>
      </c>
      <c r="D51" s="27"/>
      <c r="E51" s="27"/>
      <c r="F51" s="27"/>
      <c r="G51" s="27"/>
    </row>
    <row r="52" spans="1:8" ht="15" customHeight="1" thickBot="1" x14ac:dyDescent="0.25">
      <c r="A52" s="97"/>
      <c r="B52" s="1166" t="s">
        <v>7</v>
      </c>
      <c r="C52" s="1144" t="s">
        <v>1500</v>
      </c>
      <c r="D52" s="27"/>
      <c r="E52" s="27"/>
      <c r="F52" s="27"/>
      <c r="G52" s="27"/>
    </row>
    <row r="53" spans="1:8" ht="15" customHeight="1" thickBot="1" x14ac:dyDescent="0.25">
      <c r="A53" s="1132" t="s">
        <v>12</v>
      </c>
      <c r="B53" s="2"/>
      <c r="C53" s="10" t="s">
        <v>514</v>
      </c>
      <c r="D53" s="128"/>
      <c r="E53" s="128"/>
      <c r="F53" s="128"/>
      <c r="G53" s="128"/>
    </row>
    <row r="54" spans="1:8" s="99" customFormat="1" ht="15" customHeight="1" thickBot="1" x14ac:dyDescent="0.25">
      <c r="A54" s="1132"/>
      <c r="B54" s="2"/>
      <c r="C54" s="10" t="s">
        <v>515</v>
      </c>
      <c r="D54" s="119"/>
      <c r="E54" s="119"/>
      <c r="F54" s="119"/>
      <c r="G54" s="119"/>
    </row>
    <row r="55" spans="1:8" ht="15" customHeight="1" thickBot="1" x14ac:dyDescent="0.25">
      <c r="A55" s="150" t="s">
        <v>68</v>
      </c>
      <c r="B55" s="151"/>
      <c r="C55" s="354" t="s">
        <v>516</v>
      </c>
      <c r="D55" s="152">
        <f>+D43+D49+D53</f>
        <v>1341706</v>
      </c>
      <c r="E55" s="152" t="e">
        <f>+E43+E49+E53</f>
        <v>#REF!</v>
      </c>
      <c r="F55" s="152">
        <f>+F43+F49+F53+F54</f>
        <v>0</v>
      </c>
      <c r="G55" s="152" t="e">
        <f t="shared" si="1"/>
        <v>#REF!</v>
      </c>
    </row>
    <row r="56" spans="1:8" ht="15" customHeight="1" thickBot="1" x14ac:dyDescent="0.25">
      <c r="A56" s="133" t="s">
        <v>136</v>
      </c>
      <c r="B56" s="134"/>
      <c r="C56" s="135"/>
      <c r="D56" s="136">
        <f>SUM('.'!D52+'..'!D47+'...'!D52+'.-'!D47+'.-.'!D47+','!D47+'5.1. sz. mell. '!D53+'5.2. sz. mell.  '!D65+'5.3 sz. mell'!D61+'5.4. sz mell'!D61+'5.5. sz. mell.  '!D65+'5.6. sz. mell'!D65+'5.7. sz. mell.'!D68+'5.8. sz. mell.'!D57+'.....'!D49+'5.9. sz. mell.'!D57+'5.10 sz. mell '!D57)</f>
        <v>247.5</v>
      </c>
      <c r="E56" s="136">
        <f>SUM('.'!E52+'..'!E47+'...'!E52+'.-'!E47+'.-.'!E47+','!E47+'5.1. sz. mell. '!E53+'5.2. sz. mell.  '!E65+'5.3 sz. mell'!E61+'5.4. sz mell'!E61+'5.5. sz. mell.  '!E65+'5.6. sz. mell'!E65+'5.7. sz. mell.'!E68+'5.8. sz. mell.'!E57+'.....'!E49+'5.9. sz. mell.'!E57+'5.10 sz. mell '!E57)</f>
        <v>248.5</v>
      </c>
      <c r="F56" s="136"/>
      <c r="G56" s="136"/>
      <c r="H56" s="99"/>
    </row>
    <row r="57" spans="1:8" ht="15" customHeight="1" thickBot="1" x14ac:dyDescent="0.25">
      <c r="A57" s="133" t="s">
        <v>137</v>
      </c>
      <c r="B57" s="134"/>
      <c r="C57" s="135"/>
      <c r="D57" s="167"/>
      <c r="E57" s="167"/>
      <c r="F57" s="167"/>
      <c r="G57" s="167"/>
      <c r="H57" s="99"/>
    </row>
    <row r="58" spans="1:8" ht="15" customHeight="1" x14ac:dyDescent="0.2"/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35433070866141736" right="0.19685039370078741" top="0.51181102362204722" bottom="0.39370078740157483" header="0.23622047244094491" footer="0.15748031496062992"/>
  <pageSetup paperSize="9" scale="82" firstPageNumber="70" orientation="portrait" r:id="rId1"/>
  <headerFooter alignWithMargins="0">
    <oddFooter>&amp;C-&amp;P -</oddFooter>
  </headerFooter>
  <rowBreaks count="1" manualBreakCount="1">
    <brk id="40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65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83203125" style="76" customWidth="1"/>
    <col min="4" max="4" width="13.6640625" style="76" hidden="1" customWidth="1"/>
    <col min="5" max="5" width="13.83203125" style="76" hidden="1" customWidth="1"/>
    <col min="6" max="6" width="20.6640625" style="76" customWidth="1"/>
    <col min="7" max="7" width="9.5" style="76" hidden="1" customWidth="1"/>
    <col min="8" max="8" width="9.5" style="76" customWidth="1"/>
    <col min="9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1121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560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1510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9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9" t="s">
        <v>2</v>
      </c>
      <c r="B8" s="94"/>
      <c r="C8" s="1142" t="s">
        <v>1774</v>
      </c>
      <c r="D8" s="141">
        <f>SUM(D9:D18)</f>
        <v>0</v>
      </c>
      <c r="E8" s="141">
        <f t="shared" ref="E8" si="0">SUM(E9:E18)</f>
        <v>0</v>
      </c>
      <c r="F8" s="141">
        <f>SUM(F9:F18)</f>
        <v>0</v>
      </c>
      <c r="G8" s="141"/>
    </row>
    <row r="9" spans="1:7" s="96" customFormat="1" ht="15" customHeight="1" x14ac:dyDescent="0.2">
      <c r="A9" s="1140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50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9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2"/>
    </row>
    <row r="16" spans="1:7" s="99" customFormat="1" ht="15" customHeight="1" thickBot="1" x14ac:dyDescent="0.25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5"/>
    </row>
    <row r="17" spans="1:9" s="96" customFormat="1" ht="15" customHeight="1" thickBot="1" x14ac:dyDescent="0.25">
      <c r="A17" s="1145"/>
      <c r="B17" s="1146" t="s">
        <v>234</v>
      </c>
      <c r="C17" s="1149" t="s">
        <v>1480</v>
      </c>
      <c r="D17" s="1147"/>
      <c r="E17" s="1147"/>
      <c r="F17" s="1147">
        <v>0</v>
      </c>
      <c r="G17" s="141" t="e">
        <f>F17/E17*100</f>
        <v>#DIV/0!</v>
      </c>
    </row>
    <row r="18" spans="1:9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2"/>
    </row>
    <row r="19" spans="1:9" s="99" customFormat="1" ht="29.25" customHeight="1" thickBot="1" x14ac:dyDescent="0.25">
      <c r="A19" s="1139" t="s">
        <v>3</v>
      </c>
      <c r="B19" s="94"/>
      <c r="C19" s="1142" t="s">
        <v>1482</v>
      </c>
      <c r="D19" s="141">
        <f>SUM(D20:D26)-D22</f>
        <v>53245</v>
      </c>
      <c r="E19" s="141">
        <f>SUM(E20:E26)-E22</f>
        <v>54476</v>
      </c>
      <c r="F19" s="141">
        <f>SUM(F20+F25+F26)</f>
        <v>0</v>
      </c>
      <c r="G19" s="142"/>
    </row>
    <row r="20" spans="1:9" s="99" customFormat="1" ht="29.25" customHeight="1" x14ac:dyDescent="0.2">
      <c r="A20" s="97"/>
      <c r="B20" s="98" t="s">
        <v>4</v>
      </c>
      <c r="C20" s="1151" t="s">
        <v>1483</v>
      </c>
      <c r="D20" s="142">
        <v>53245</v>
      </c>
      <c r="E20" s="142">
        <v>54476</v>
      </c>
      <c r="F20" s="142">
        <v>0</v>
      </c>
      <c r="G20" s="142"/>
    </row>
    <row r="21" spans="1:9" s="99" customFormat="1" ht="15" hidden="1" customHeight="1" x14ac:dyDescent="0.2">
      <c r="A21" s="1173"/>
      <c r="B21" s="1168"/>
      <c r="C21" s="1151"/>
      <c r="D21" s="1174"/>
      <c r="E21" s="1174"/>
      <c r="F21" s="1174"/>
      <c r="G21" s="142"/>
    </row>
    <row r="22" spans="1:9" s="99" customFormat="1" ht="15" customHeight="1" thickBot="1" x14ac:dyDescent="0.25">
      <c r="A22" s="97"/>
      <c r="B22" s="1148" t="s">
        <v>239</v>
      </c>
      <c r="C22" s="1152" t="s">
        <v>34</v>
      </c>
      <c r="D22" s="142"/>
      <c r="E22" s="142"/>
      <c r="F22" s="142">
        <v>0</v>
      </c>
      <c r="G22" s="142"/>
    </row>
    <row r="23" spans="1:9" s="99" customFormat="1" ht="30" customHeight="1" thickBot="1" x14ac:dyDescent="0.25">
      <c r="A23" s="97"/>
      <c r="B23" s="1148" t="s">
        <v>255</v>
      </c>
      <c r="C23" s="1152" t="s">
        <v>1484</v>
      </c>
      <c r="D23" s="142">
        <v>0</v>
      </c>
      <c r="E23" s="142">
        <v>0</v>
      </c>
      <c r="F23" s="142"/>
      <c r="G23" s="119"/>
    </row>
    <row r="24" spans="1:9" s="96" customFormat="1" ht="15" customHeight="1" thickBot="1" x14ac:dyDescent="0.25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19"/>
    </row>
    <row r="25" spans="1:9" s="96" customFormat="1" ht="15" customHeight="1" thickBot="1" x14ac:dyDescent="0.25">
      <c r="A25" s="1153"/>
      <c r="B25" s="1148" t="s">
        <v>6</v>
      </c>
      <c r="C25" s="1144" t="s">
        <v>1485</v>
      </c>
      <c r="D25" s="1154"/>
      <c r="E25" s="1154"/>
      <c r="F25" s="1154">
        <v>0</v>
      </c>
      <c r="G25" s="148"/>
    </row>
    <row r="26" spans="1:9" s="96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0</v>
      </c>
      <c r="F26" s="142">
        <v>0</v>
      </c>
      <c r="G26" s="149"/>
    </row>
    <row r="27" spans="1:9" s="96" customFormat="1" ht="15" customHeight="1" thickBot="1" x14ac:dyDescent="0.25">
      <c r="A27" s="1139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46"/>
    </row>
    <row r="28" spans="1:9" s="99" customFormat="1" ht="15" customHeight="1" thickBot="1" x14ac:dyDescent="0.25">
      <c r="A28" s="1155"/>
      <c r="B28" s="1148" t="s">
        <v>13</v>
      </c>
      <c r="C28" s="1144" t="s">
        <v>1488</v>
      </c>
      <c r="D28" s="1157"/>
      <c r="E28" s="1157"/>
      <c r="F28" s="1191">
        <v>0</v>
      </c>
      <c r="G28" s="119"/>
      <c r="I28" s="110">
        <f>SUM(F51-F30)</f>
        <v>0</v>
      </c>
    </row>
    <row r="29" spans="1:9" s="99" customFormat="1" ht="15" customHeight="1" thickBot="1" x14ac:dyDescent="0.25">
      <c r="A29" s="1139" t="s">
        <v>68</v>
      </c>
      <c r="B29" s="94"/>
      <c r="C29" s="1156" t="s">
        <v>1505</v>
      </c>
      <c r="D29" s="119">
        <v>0</v>
      </c>
      <c r="E29" s="119">
        <v>0</v>
      </c>
      <c r="F29" s="119">
        <v>0</v>
      </c>
      <c r="G29" s="119"/>
    </row>
    <row r="30" spans="1:9" s="99" customFormat="1" ht="15" customHeight="1" thickBot="1" x14ac:dyDescent="0.25">
      <c r="A30" s="97"/>
      <c r="B30" s="1160" t="s">
        <v>133</v>
      </c>
      <c r="C30" s="1144" t="s">
        <v>1489</v>
      </c>
      <c r="D30" s="1158"/>
      <c r="E30" s="1158"/>
      <c r="F30" s="142">
        <v>0</v>
      </c>
      <c r="G30" s="152" t="e">
        <f>F30/E30*100</f>
        <v>#DIV/0!</v>
      </c>
      <c r="I30" s="110"/>
    </row>
    <row r="31" spans="1:9" s="99" customFormat="1" ht="15" customHeight="1" thickBot="1" x14ac:dyDescent="0.25">
      <c r="A31" s="1153"/>
      <c r="B31" s="1160" t="s">
        <v>983</v>
      </c>
      <c r="C31" s="1144" t="s">
        <v>1490</v>
      </c>
      <c r="D31" s="1158"/>
      <c r="E31" s="1158"/>
      <c r="F31" s="1154">
        <v>0</v>
      </c>
      <c r="G31" s="390"/>
    </row>
    <row r="32" spans="1:9" s="411" customFormat="1" ht="15" customHeight="1" thickBot="1" x14ac:dyDescent="0.25">
      <c r="A32" s="97"/>
      <c r="B32" s="1160" t="s">
        <v>149</v>
      </c>
      <c r="C32" s="1144" t="s">
        <v>1491</v>
      </c>
      <c r="D32" s="1158"/>
      <c r="E32" s="1158"/>
      <c r="F32" s="142">
        <v>0</v>
      </c>
      <c r="G32" s="152"/>
    </row>
    <row r="33" spans="1:11" s="96" customFormat="1" ht="30.75" customHeight="1" thickBot="1" x14ac:dyDescent="0.25">
      <c r="A33" s="1139" t="s">
        <v>27</v>
      </c>
      <c r="B33" s="1161"/>
      <c r="C33" s="1156" t="s">
        <v>1506</v>
      </c>
      <c r="D33" s="148">
        <f>+D34+D35</f>
        <v>0</v>
      </c>
      <c r="E33" s="148">
        <f t="shared" ref="E33:F33" si="1">+E34+E35</f>
        <v>127</v>
      </c>
      <c r="F33" s="148">
        <f t="shared" si="1"/>
        <v>0</v>
      </c>
      <c r="G33" s="141">
        <f>F33/E33*100</f>
        <v>0</v>
      </c>
    </row>
    <row r="34" spans="1:11" s="99" customFormat="1" ht="29.25" customHeight="1" thickBot="1" x14ac:dyDescent="0.25">
      <c r="A34" s="1140"/>
      <c r="B34" s="1162" t="s">
        <v>28</v>
      </c>
      <c r="C34" s="1151" t="s">
        <v>1492</v>
      </c>
      <c r="D34" s="149">
        <v>0</v>
      </c>
      <c r="E34" s="149">
        <v>127</v>
      </c>
      <c r="F34" s="149">
        <v>0</v>
      </c>
      <c r="G34" s="147"/>
    </row>
    <row r="35" spans="1:11" s="99" customFormat="1" ht="15" hidden="1" customHeight="1" x14ac:dyDescent="0.2">
      <c r="A35" s="1141"/>
      <c r="B35" s="1163"/>
      <c r="C35" s="6"/>
      <c r="D35" s="146">
        <v>0</v>
      </c>
      <c r="E35" s="146">
        <v>0</v>
      </c>
      <c r="F35" s="146">
        <v>0</v>
      </c>
      <c r="G35" s="405"/>
    </row>
    <row r="36" spans="1:11" s="99" customFormat="1" ht="15" customHeight="1" thickBot="1" x14ac:dyDescent="0.3">
      <c r="A36" s="116" t="s">
        <v>32</v>
      </c>
      <c r="B36" s="117"/>
      <c r="C36" s="1142" t="s">
        <v>1493</v>
      </c>
      <c r="D36" s="119">
        <v>4766</v>
      </c>
      <c r="E36" s="119">
        <v>6405</v>
      </c>
      <c r="F36" s="119">
        <v>0</v>
      </c>
      <c r="G36" s="142"/>
    </row>
    <row r="37" spans="1:11" s="99" customFormat="1" ht="29.25" customHeight="1" thickBot="1" x14ac:dyDescent="0.25">
      <c r="A37" s="1159"/>
      <c r="B37" s="1164" t="s">
        <v>33</v>
      </c>
      <c r="C37" s="1144" t="s">
        <v>1494</v>
      </c>
      <c r="D37" s="1157"/>
      <c r="E37" s="1157"/>
      <c r="F37" s="1191">
        <v>0</v>
      </c>
      <c r="G37" s="405"/>
    </row>
    <row r="38" spans="1:11" s="99" customFormat="1" ht="15" customHeight="1" thickBot="1" x14ac:dyDescent="0.3">
      <c r="A38" s="116" t="s">
        <v>74</v>
      </c>
      <c r="B38" s="117"/>
      <c r="C38" s="1156" t="s">
        <v>1495</v>
      </c>
      <c r="D38" s="119"/>
      <c r="E38" s="119"/>
      <c r="F38" s="119">
        <f>SUM(F39:F41)</f>
        <v>74496</v>
      </c>
      <c r="G38" s="142"/>
      <c r="K38" s="1157"/>
    </row>
    <row r="39" spans="1:11" s="99" customFormat="1" ht="15" customHeight="1" thickBot="1" x14ac:dyDescent="0.25">
      <c r="A39" s="97"/>
      <c r="B39" s="1160" t="s">
        <v>36</v>
      </c>
      <c r="C39" s="1144" t="s">
        <v>1496</v>
      </c>
      <c r="D39" s="1157"/>
      <c r="E39" s="1157"/>
      <c r="F39" s="142">
        <v>0</v>
      </c>
      <c r="G39" s="405"/>
    </row>
    <row r="40" spans="1:11" s="99" customFormat="1" ht="15" customHeight="1" thickBot="1" x14ac:dyDescent="0.25">
      <c r="A40" s="1153"/>
      <c r="B40" s="1160" t="s">
        <v>37</v>
      </c>
      <c r="C40" s="1144" t="s">
        <v>1497</v>
      </c>
      <c r="D40" s="1157"/>
      <c r="E40" s="1157"/>
      <c r="F40" s="1154">
        <v>0</v>
      </c>
      <c r="G40" s="142"/>
    </row>
    <row r="41" spans="1:11" s="99" customFormat="1" ht="15" customHeight="1" thickBot="1" x14ac:dyDescent="0.25">
      <c r="A41" s="97"/>
      <c r="B41" s="1160" t="s">
        <v>1499</v>
      </c>
      <c r="C41" s="1144" t="s">
        <v>1498</v>
      </c>
      <c r="D41" s="1157"/>
      <c r="E41" s="1157"/>
      <c r="F41" s="142">
        <f>SUM(F42:F43)</f>
        <v>74496</v>
      </c>
      <c r="G41" s="142"/>
    </row>
    <row r="42" spans="1:11" s="99" customFormat="1" ht="15" customHeight="1" thickBot="1" x14ac:dyDescent="0.25">
      <c r="A42" s="100"/>
      <c r="B42" s="1413" t="s">
        <v>1777</v>
      </c>
      <c r="C42" s="1414" t="s">
        <v>1775</v>
      </c>
      <c r="D42" s="1224"/>
      <c r="E42" s="1224"/>
      <c r="F42" s="1416">
        <v>69627</v>
      </c>
      <c r="G42" s="1412"/>
    </row>
    <row r="43" spans="1:11" s="99" customFormat="1" ht="15" customHeight="1" thickBot="1" x14ac:dyDescent="0.25">
      <c r="A43" s="100"/>
      <c r="B43" s="1417" t="s">
        <v>1778</v>
      </c>
      <c r="C43" s="1418" t="s">
        <v>1776</v>
      </c>
      <c r="D43" s="1224"/>
      <c r="E43" s="1224"/>
      <c r="F43" s="1416">
        <v>4869</v>
      </c>
      <c r="G43" s="1412"/>
    </row>
    <row r="44" spans="1:11" s="99" customFormat="1" ht="15" customHeight="1" thickBot="1" x14ac:dyDescent="0.25">
      <c r="A44" s="150" t="s">
        <v>38</v>
      </c>
      <c r="B44" s="151"/>
      <c r="C44" s="354" t="s">
        <v>510</v>
      </c>
      <c r="D44" s="152">
        <f>SUM(D8,D19,D27,D29,D33,D36)</f>
        <v>58011</v>
      </c>
      <c r="E44" s="152">
        <f>SUM(E8,E19,E27,E29,E33,E36)</f>
        <v>61008</v>
      </c>
      <c r="F44" s="152">
        <f>SUM(F8,F19,F27,F29,F33,F36,F38)</f>
        <v>74496</v>
      </c>
      <c r="G44" s="141">
        <f>F44/E44*100</f>
        <v>122.10857592446894</v>
      </c>
    </row>
    <row r="45" spans="1:11" s="96" customFormat="1" ht="15" customHeight="1" thickBot="1" x14ac:dyDescent="0.25">
      <c r="A45" s="131"/>
      <c r="B45" s="132"/>
      <c r="C45" s="132"/>
      <c r="D45" s="390"/>
      <c r="E45" s="390"/>
      <c r="F45" s="390"/>
      <c r="G45" s="147"/>
    </row>
    <row r="46" spans="1:11" s="99" customFormat="1" ht="16.5" thickBot="1" x14ac:dyDescent="0.25">
      <c r="A46" s="150"/>
      <c r="B46" s="151"/>
      <c r="C46" s="387" t="s">
        <v>82</v>
      </c>
      <c r="D46" s="152"/>
      <c r="E46" s="152"/>
      <c r="F46" s="152"/>
      <c r="G46" s="142"/>
    </row>
    <row r="47" spans="1:11" s="99" customFormat="1" ht="15.75" thickBot="1" x14ac:dyDescent="0.25">
      <c r="A47" s="1139" t="s">
        <v>2</v>
      </c>
      <c r="B47" s="2"/>
      <c r="C47" s="1218" t="s">
        <v>49</v>
      </c>
      <c r="D47" s="141">
        <f>SUM(D48+D50+D52)</f>
        <v>58011</v>
      </c>
      <c r="E47" s="141">
        <f t="shared" ref="E47:F47" si="2">SUM(E48+E50+E52)</f>
        <v>61008</v>
      </c>
      <c r="F47" s="141">
        <f t="shared" si="2"/>
        <v>74242</v>
      </c>
      <c r="G47" s="142"/>
    </row>
    <row r="48" spans="1:11" s="99" customFormat="1" ht="15.75" thickBot="1" x14ac:dyDescent="0.25">
      <c r="A48" s="113"/>
      <c r="B48" s="1165" t="s">
        <v>50</v>
      </c>
      <c r="C48" s="7" t="s">
        <v>51</v>
      </c>
      <c r="D48" s="147">
        <v>39072</v>
      </c>
      <c r="E48" s="147">
        <v>41332</v>
      </c>
      <c r="F48" s="147">
        <v>51899</v>
      </c>
      <c r="G48" s="142"/>
    </row>
    <row r="49" spans="1:7" s="99" customFormat="1" ht="15" hidden="1" customHeight="1" thickBot="1" x14ac:dyDescent="0.25">
      <c r="A49" s="113"/>
      <c r="B49" s="1165"/>
      <c r="C49" s="400" t="s">
        <v>535</v>
      </c>
      <c r="D49" s="405"/>
      <c r="E49" s="405"/>
      <c r="F49" s="405"/>
      <c r="G49" s="119"/>
    </row>
    <row r="50" spans="1:7" s="99" customFormat="1" ht="15" customHeight="1" thickBot="1" x14ac:dyDescent="0.25">
      <c r="A50" s="97"/>
      <c r="B50" s="1166" t="s">
        <v>52</v>
      </c>
      <c r="C50" s="3" t="s">
        <v>53</v>
      </c>
      <c r="D50" s="142">
        <v>10526</v>
      </c>
      <c r="E50" s="142">
        <v>11133</v>
      </c>
      <c r="F50" s="142">
        <v>14209</v>
      </c>
      <c r="G50" s="119"/>
    </row>
    <row r="51" spans="1:7" s="99" customFormat="1" ht="15" hidden="1" customHeight="1" thickBot="1" x14ac:dyDescent="0.25">
      <c r="A51" s="97"/>
      <c r="B51" s="1166"/>
      <c r="C51" s="400" t="s">
        <v>535</v>
      </c>
      <c r="D51" s="405"/>
      <c r="E51" s="405"/>
      <c r="F51" s="405"/>
      <c r="G51" s="152" t="e">
        <f>F51/E51*100</f>
        <v>#DIV/0!</v>
      </c>
    </row>
    <row r="52" spans="1:7" s="99" customFormat="1" ht="15" customHeight="1" thickBot="1" x14ac:dyDescent="0.25">
      <c r="A52" s="97"/>
      <c r="B52" s="1166" t="s">
        <v>54</v>
      </c>
      <c r="C52" s="3" t="s">
        <v>55</v>
      </c>
      <c r="D52" s="142">
        <v>8413</v>
      </c>
      <c r="E52" s="142">
        <v>8543</v>
      </c>
      <c r="F52" s="142">
        <v>8134</v>
      </c>
      <c r="G52" s="388">
        <f>F52/E52*100</f>
        <v>95.212454641226742</v>
      </c>
    </row>
    <row r="53" spans="1:7" s="99" customFormat="1" ht="15" hidden="1" customHeight="1" thickBot="1" x14ac:dyDescent="0.25">
      <c r="A53" s="97"/>
      <c r="B53" s="1166"/>
      <c r="C53" s="400" t="s">
        <v>535</v>
      </c>
      <c r="D53" s="405"/>
      <c r="E53" s="405"/>
      <c r="F53" s="405"/>
      <c r="G53" s="356"/>
    </row>
    <row r="54" spans="1:7" s="99" customFormat="1" ht="15" customHeight="1" thickBot="1" x14ac:dyDescent="0.25">
      <c r="A54" s="97"/>
      <c r="B54" s="1166" t="s">
        <v>56</v>
      </c>
      <c r="C54" s="3" t="s">
        <v>57</v>
      </c>
      <c r="D54" s="142"/>
      <c r="E54" s="142"/>
      <c r="F54" s="142">
        <v>0</v>
      </c>
      <c r="G54" s="356"/>
    </row>
    <row r="55" spans="1:7" ht="15.75" thickBot="1" x14ac:dyDescent="0.25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</row>
    <row r="56" spans="1:7" ht="15.75" thickBot="1" x14ac:dyDescent="0.25">
      <c r="A56" s="1139" t="s">
        <v>3</v>
      </c>
      <c r="B56" s="2"/>
      <c r="C56" s="1156" t="s">
        <v>1508</v>
      </c>
      <c r="D56" s="141">
        <f>SUM(D57:D60)</f>
        <v>0</v>
      </c>
      <c r="E56" s="141">
        <f t="shared" ref="E56:F56" si="3">SUM(E57:E60)</f>
        <v>0</v>
      </c>
      <c r="F56" s="141">
        <f t="shared" si="3"/>
        <v>254</v>
      </c>
    </row>
    <row r="57" spans="1:7" ht="15" x14ac:dyDescent="0.2">
      <c r="A57" s="113"/>
      <c r="B57" s="1165" t="s">
        <v>4</v>
      </c>
      <c r="C57" s="1151" t="s">
        <v>1173</v>
      </c>
      <c r="D57" s="147">
        <v>0</v>
      </c>
      <c r="E57" s="147">
        <v>0</v>
      </c>
      <c r="F57" s="147">
        <v>254</v>
      </c>
    </row>
    <row r="58" spans="1:7" ht="15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</row>
    <row r="59" spans="1:7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</row>
    <row r="60" spans="1:7" ht="15.75" hidden="1" thickBot="1" x14ac:dyDescent="0.25">
      <c r="A60" s="97"/>
      <c r="B60" s="1166"/>
      <c r="C60" s="3"/>
      <c r="D60" s="142">
        <v>0</v>
      </c>
      <c r="E60" s="142">
        <v>0</v>
      </c>
      <c r="F60" s="142">
        <v>0</v>
      </c>
    </row>
    <row r="61" spans="1:7" ht="15" hidden="1" thickBot="1" x14ac:dyDescent="0.25">
      <c r="A61" s="1139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</row>
    <row r="62" spans="1:7" ht="15" hidden="1" thickBot="1" x14ac:dyDescent="0.25">
      <c r="A62" s="1139"/>
      <c r="B62" s="2"/>
      <c r="C62" s="10" t="s">
        <v>515</v>
      </c>
      <c r="D62" s="119"/>
      <c r="E62" s="119"/>
      <c r="F62" s="119"/>
    </row>
    <row r="63" spans="1:7" ht="16.5" thickBot="1" x14ac:dyDescent="0.25">
      <c r="A63" s="150" t="s">
        <v>12</v>
      </c>
      <c r="B63" s="151"/>
      <c r="C63" s="354" t="s">
        <v>1501</v>
      </c>
      <c r="D63" s="152">
        <f>+D47+D56+D61</f>
        <v>58011</v>
      </c>
      <c r="E63" s="152">
        <f t="shared" ref="E63:F63" si="4">+E47+E56+E61</f>
        <v>61008</v>
      </c>
      <c r="F63" s="152">
        <f t="shared" si="4"/>
        <v>74496</v>
      </c>
    </row>
    <row r="64" spans="1:7" ht="15.75" thickBot="1" x14ac:dyDescent="0.25">
      <c r="A64" s="133" t="s">
        <v>136</v>
      </c>
      <c r="B64" s="134"/>
      <c r="C64" s="135"/>
      <c r="D64" s="356">
        <v>18</v>
      </c>
      <c r="E64" s="356">
        <v>18</v>
      </c>
      <c r="F64" s="136">
        <v>20</v>
      </c>
    </row>
    <row r="65" spans="1:6" ht="15.75" thickBot="1" x14ac:dyDescent="0.25">
      <c r="A65" s="133" t="s">
        <v>137</v>
      </c>
      <c r="B65" s="134"/>
      <c r="C65" s="135"/>
      <c r="D65" s="356"/>
      <c r="E65" s="356"/>
      <c r="F65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27559055118110237" right="0.27559055118110237" top="0.31496062992125984" bottom="0.19685039370078741" header="0.51181102362204722" footer="0.15748031496062992"/>
  <pageSetup paperSize="9" scale="85" firstPageNumber="72" orientation="portrait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66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83203125" style="76" customWidth="1"/>
    <col min="4" max="4" width="13.6640625" style="76" hidden="1" customWidth="1"/>
    <col min="5" max="5" width="13.83203125" style="76" hidden="1" customWidth="1"/>
    <col min="6" max="6" width="21.33203125" style="76" customWidth="1"/>
    <col min="7" max="7" width="9.5" style="76" hidden="1" customWidth="1"/>
    <col min="8" max="8" width="9.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1797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560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1502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9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50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45"/>
      <c r="B17" s="1146" t="s">
        <v>234</v>
      </c>
      <c r="C17" s="1149" t="s">
        <v>1480</v>
      </c>
      <c r="D17" s="1147"/>
      <c r="E17" s="1147"/>
      <c r="F17" s="1147">
        <v>0</v>
      </c>
      <c r="G17" s="1147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8.5" customHeight="1" thickBot="1" x14ac:dyDescent="0.25">
      <c r="A19" s="1132" t="s">
        <v>3</v>
      </c>
      <c r="B19" s="94"/>
      <c r="C19" s="1142" t="s">
        <v>1482</v>
      </c>
      <c r="D19" s="141">
        <f>SUM(D20:D26)-D22</f>
        <v>53245</v>
      </c>
      <c r="E19" s="141">
        <f>SUM(E20:E26)-E22</f>
        <v>54476</v>
      </c>
      <c r="F19" s="141">
        <f>SUM(F20:F26)-F21</f>
        <v>0</v>
      </c>
      <c r="G19" s="141">
        <f>F19/E19*100</f>
        <v>0</v>
      </c>
    </row>
    <row r="20" spans="1:7" s="99" customFormat="1" ht="30.75" customHeight="1" x14ac:dyDescent="0.2">
      <c r="A20" s="97"/>
      <c r="B20" s="98" t="s">
        <v>4</v>
      </c>
      <c r="C20" s="1151" t="s">
        <v>1483</v>
      </c>
      <c r="D20" s="142">
        <v>53245</v>
      </c>
      <c r="E20" s="142">
        <v>54476</v>
      </c>
      <c r="F20" s="142"/>
      <c r="G20" s="142"/>
    </row>
    <row r="21" spans="1:7" s="99" customFormat="1" ht="15" hidden="1" x14ac:dyDescent="0.2">
      <c r="A21" s="1173"/>
      <c r="B21" s="1168"/>
      <c r="C21" s="1151"/>
      <c r="D21" s="1174"/>
      <c r="E21" s="1174"/>
      <c r="F21" s="1174"/>
      <c r="G21" s="1174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/>
      <c r="E22" s="142"/>
      <c r="F22" s="142">
        <v>0</v>
      </c>
      <c r="G22" s="142"/>
    </row>
    <row r="23" spans="1:7" s="99" customFormat="1" ht="15" customHeight="1" x14ac:dyDescent="0.2">
      <c r="A23" s="97"/>
      <c r="B23" s="1148" t="s">
        <v>255</v>
      </c>
      <c r="C23" s="1152" t="s">
        <v>1484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x14ac:dyDescent="0.2">
      <c r="A25" s="1153"/>
      <c r="B25" s="1148" t="s">
        <v>6</v>
      </c>
      <c r="C25" s="1144" t="s">
        <v>1485</v>
      </c>
      <c r="D25" s="1154"/>
      <c r="E25" s="1154"/>
      <c r="F25" s="1154">
        <v>0</v>
      </c>
      <c r="G25" s="1154"/>
    </row>
    <row r="26" spans="1:7" s="99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0</v>
      </c>
      <c r="F26" s="142">
        <v>0</v>
      </c>
      <c r="G26" s="142"/>
    </row>
    <row r="27" spans="1:7" s="99" customFormat="1" ht="15" customHeight="1" thickBot="1" x14ac:dyDescent="0.25">
      <c r="A27" s="1132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9" customFormat="1" ht="30.75" customHeight="1" thickBot="1" x14ac:dyDescent="0.25">
      <c r="A28" s="1155"/>
      <c r="B28" s="1148" t="s">
        <v>13</v>
      </c>
      <c r="C28" s="1144" t="s">
        <v>1488</v>
      </c>
      <c r="D28" s="1157"/>
      <c r="E28" s="1157"/>
      <c r="F28" s="1191">
        <v>0</v>
      </c>
      <c r="G28" s="1157"/>
    </row>
    <row r="29" spans="1:7" s="96" customFormat="1" ht="15" customHeight="1" thickBot="1" x14ac:dyDescent="0.25">
      <c r="A29" s="1137" t="s">
        <v>68</v>
      </c>
      <c r="B29" s="94"/>
      <c r="C29" s="1156" t="s">
        <v>1505</v>
      </c>
      <c r="D29" s="119">
        <v>0</v>
      </c>
      <c r="E29" s="119">
        <v>0</v>
      </c>
      <c r="F29" s="119">
        <v>0</v>
      </c>
      <c r="G29" s="119"/>
    </row>
    <row r="30" spans="1:7" s="96" customFormat="1" ht="15" customHeight="1" thickBot="1" x14ac:dyDescent="0.25">
      <c r="A30" s="97"/>
      <c r="B30" s="1160" t="s">
        <v>133</v>
      </c>
      <c r="C30" s="1144" t="s">
        <v>1489</v>
      </c>
      <c r="D30" s="1158"/>
      <c r="E30" s="1158"/>
      <c r="F30" s="142">
        <v>0</v>
      </c>
      <c r="G30" s="1158"/>
    </row>
    <row r="31" spans="1:7" s="96" customFormat="1" ht="15" customHeight="1" thickBot="1" x14ac:dyDescent="0.25">
      <c r="A31" s="1153"/>
      <c r="B31" s="1160" t="s">
        <v>983</v>
      </c>
      <c r="C31" s="1144" t="s">
        <v>1490</v>
      </c>
      <c r="D31" s="1158"/>
      <c r="E31" s="1158"/>
      <c r="F31" s="1154">
        <v>0</v>
      </c>
      <c r="G31" s="1158"/>
    </row>
    <row r="32" spans="1:7" s="96" customFormat="1" ht="15" customHeight="1" thickBot="1" x14ac:dyDescent="0.25">
      <c r="A32" s="97"/>
      <c r="B32" s="1160" t="s">
        <v>149</v>
      </c>
      <c r="C32" s="1144" t="s">
        <v>1491</v>
      </c>
      <c r="D32" s="1158"/>
      <c r="E32" s="1158"/>
      <c r="F32" s="142">
        <v>0</v>
      </c>
      <c r="G32" s="1158"/>
    </row>
    <row r="33" spans="1:9" s="96" customFormat="1" ht="29.25" customHeight="1" thickBot="1" x14ac:dyDescent="0.25">
      <c r="A33" s="1132" t="s">
        <v>27</v>
      </c>
      <c r="B33" s="1161"/>
      <c r="C33" s="1156" t="s">
        <v>1506</v>
      </c>
      <c r="D33" s="148">
        <f>+D34+D35</f>
        <v>0</v>
      </c>
      <c r="E33" s="148">
        <f t="shared" ref="E33:F33" si="1">+E34+E35</f>
        <v>127</v>
      </c>
      <c r="F33" s="148">
        <f t="shared" si="1"/>
        <v>0</v>
      </c>
      <c r="G33" s="148"/>
    </row>
    <row r="34" spans="1:9" s="96" customFormat="1" ht="29.25" customHeight="1" thickBot="1" x14ac:dyDescent="0.25">
      <c r="A34" s="1133"/>
      <c r="B34" s="1162" t="s">
        <v>28</v>
      </c>
      <c r="C34" s="1151" t="s">
        <v>1492</v>
      </c>
      <c r="D34" s="149">
        <v>0</v>
      </c>
      <c r="E34" s="149">
        <v>127</v>
      </c>
      <c r="F34" s="149">
        <v>0</v>
      </c>
      <c r="G34" s="149"/>
    </row>
    <row r="35" spans="1:9" s="96" customFormat="1" ht="15" hidden="1" customHeight="1" thickBot="1" x14ac:dyDescent="0.25">
      <c r="A35" s="1134"/>
      <c r="B35" s="1163"/>
      <c r="C35" s="6"/>
      <c r="D35" s="146">
        <v>0</v>
      </c>
      <c r="E35" s="146">
        <v>0</v>
      </c>
      <c r="F35" s="146">
        <v>0</v>
      </c>
      <c r="G35" s="146"/>
    </row>
    <row r="36" spans="1:9" s="99" customFormat="1" ht="15" customHeight="1" thickBot="1" x14ac:dyDescent="0.3">
      <c r="A36" s="116" t="s">
        <v>32</v>
      </c>
      <c r="B36" s="117"/>
      <c r="C36" s="1142" t="s">
        <v>1493</v>
      </c>
      <c r="D36" s="119">
        <v>4766</v>
      </c>
      <c r="E36" s="119">
        <v>6405</v>
      </c>
      <c r="F36" s="119">
        <v>0</v>
      </c>
      <c r="G36" s="119"/>
      <c r="I36" s="110">
        <f>SUM(F63-F44)</f>
        <v>0</v>
      </c>
    </row>
    <row r="37" spans="1:9" s="99" customFormat="1" ht="29.25" customHeight="1" thickBot="1" x14ac:dyDescent="0.25">
      <c r="A37" s="1159"/>
      <c r="B37" s="1164" t="s">
        <v>33</v>
      </c>
      <c r="C37" s="1144" t="s">
        <v>1494</v>
      </c>
      <c r="D37" s="1157"/>
      <c r="E37" s="1157"/>
      <c r="F37" s="1191">
        <v>0</v>
      </c>
      <c r="G37" s="1157"/>
      <c r="I37" s="110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9"/>
      <c r="E38" s="119"/>
      <c r="F38" s="119">
        <f>SUM(F39:F41)</f>
        <v>74496</v>
      </c>
      <c r="G38" s="119"/>
    </row>
    <row r="39" spans="1:9" s="99" customFormat="1" ht="15" customHeight="1" thickBot="1" x14ac:dyDescent="0.25">
      <c r="A39" s="97"/>
      <c r="B39" s="1160" t="s">
        <v>36</v>
      </c>
      <c r="C39" s="1144" t="s">
        <v>1496</v>
      </c>
      <c r="D39" s="1157"/>
      <c r="E39" s="1157"/>
      <c r="F39" s="142">
        <v>0</v>
      </c>
      <c r="G39" s="1157"/>
    </row>
    <row r="40" spans="1:9" s="99" customFormat="1" ht="15" customHeight="1" thickBot="1" x14ac:dyDescent="0.25">
      <c r="A40" s="1153"/>
      <c r="B40" s="1160" t="s">
        <v>37</v>
      </c>
      <c r="C40" s="1144" t="s">
        <v>1497</v>
      </c>
      <c r="D40" s="1157"/>
      <c r="E40" s="1157"/>
      <c r="F40" s="1154">
        <v>0</v>
      </c>
      <c r="G40" s="1157"/>
    </row>
    <row r="41" spans="1:9" s="99" customFormat="1" ht="15" customHeight="1" thickBot="1" x14ac:dyDescent="0.25">
      <c r="A41" s="97"/>
      <c r="B41" s="1160" t="s">
        <v>1499</v>
      </c>
      <c r="C41" s="1144" t="s">
        <v>1498</v>
      </c>
      <c r="D41" s="1157"/>
      <c r="E41" s="1157"/>
      <c r="F41" s="142">
        <f>SUM(F42:F43)</f>
        <v>74496</v>
      </c>
      <c r="G41" s="1157"/>
    </row>
    <row r="42" spans="1:9" s="99" customFormat="1" ht="15" customHeight="1" thickBot="1" x14ac:dyDescent="0.25">
      <c r="A42" s="100"/>
      <c r="B42" s="1413" t="s">
        <v>1777</v>
      </c>
      <c r="C42" s="1414" t="s">
        <v>1775</v>
      </c>
      <c r="D42" s="1224"/>
      <c r="E42" s="1224"/>
      <c r="F42" s="1416">
        <v>69627</v>
      </c>
      <c r="G42" s="1224"/>
    </row>
    <row r="43" spans="1:9" s="99" customFormat="1" ht="15" customHeight="1" thickBot="1" x14ac:dyDescent="0.25">
      <c r="A43" s="100"/>
      <c r="B43" s="1417" t="s">
        <v>1778</v>
      </c>
      <c r="C43" s="1418" t="s">
        <v>1776</v>
      </c>
      <c r="D43" s="1224"/>
      <c r="E43" s="1224"/>
      <c r="F43" s="1416">
        <v>4869</v>
      </c>
      <c r="G43" s="1224"/>
    </row>
    <row r="44" spans="1:9" s="99" customFormat="1" ht="15" customHeight="1" thickBot="1" x14ac:dyDescent="0.25">
      <c r="A44" s="150" t="s">
        <v>38</v>
      </c>
      <c r="B44" s="151"/>
      <c r="C44" s="354" t="s">
        <v>510</v>
      </c>
      <c r="D44" s="152">
        <f>SUM(D8,D19,D27,D29,D33,D36)</f>
        <v>58011</v>
      </c>
      <c r="E44" s="152">
        <f>SUM(E8,E19,E27,E29,E33,E36)</f>
        <v>61008</v>
      </c>
      <c r="F44" s="152">
        <f>SUM(F8,F19,F27,F29,F33,F36,F38)</f>
        <v>74496</v>
      </c>
      <c r="G44" s="152">
        <f>F44/E44*100</f>
        <v>122.10857592446894</v>
      </c>
      <c r="I44" s="110"/>
    </row>
    <row r="45" spans="1:9" s="99" customFormat="1" ht="15" customHeight="1" thickBot="1" x14ac:dyDescent="0.25">
      <c r="A45" s="131"/>
      <c r="B45" s="132"/>
      <c r="C45" s="132"/>
      <c r="D45" s="390"/>
      <c r="E45" s="390"/>
      <c r="F45" s="390"/>
      <c r="G45" s="390"/>
    </row>
    <row r="46" spans="1:9" s="411" customFormat="1" ht="15" customHeight="1" thickBot="1" x14ac:dyDescent="0.25">
      <c r="A46" s="150"/>
      <c r="B46" s="151"/>
      <c r="C46" s="387" t="s">
        <v>82</v>
      </c>
      <c r="D46" s="152"/>
      <c r="E46" s="152"/>
      <c r="F46" s="152"/>
      <c r="G46" s="152"/>
    </row>
    <row r="47" spans="1:9" s="96" customFormat="1" ht="15" customHeight="1" thickBot="1" x14ac:dyDescent="0.25">
      <c r="A47" s="1132" t="s">
        <v>2</v>
      </c>
      <c r="B47" s="2"/>
      <c r="C47" s="1156" t="s">
        <v>1507</v>
      </c>
      <c r="D47" s="141">
        <f>SUM(D48+D50+D52)</f>
        <v>58011</v>
      </c>
      <c r="E47" s="141">
        <f t="shared" ref="E47:F47" si="2">SUM(E48+E50+E52)</f>
        <v>61008</v>
      </c>
      <c r="F47" s="141">
        <f t="shared" si="2"/>
        <v>74242</v>
      </c>
      <c r="G47" s="141">
        <f>F47/E47*100</f>
        <v>121.69223708366117</v>
      </c>
    </row>
    <row r="48" spans="1:9" s="99" customFormat="1" ht="15" customHeight="1" x14ac:dyDescent="0.2">
      <c r="A48" s="113"/>
      <c r="B48" s="1165" t="s">
        <v>50</v>
      </c>
      <c r="C48" s="7" t="s">
        <v>51</v>
      </c>
      <c r="D48" s="147">
        <v>39072</v>
      </c>
      <c r="E48" s="147">
        <v>41332</v>
      </c>
      <c r="F48" s="147">
        <v>51899</v>
      </c>
      <c r="G48" s="147"/>
    </row>
    <row r="49" spans="1:7" s="99" customFormat="1" ht="15" hidden="1" customHeight="1" x14ac:dyDescent="0.2">
      <c r="A49" s="113"/>
      <c r="B49" s="1165"/>
      <c r="C49" s="400" t="s">
        <v>535</v>
      </c>
      <c r="D49" s="405"/>
      <c r="E49" s="405"/>
      <c r="F49" s="405"/>
      <c r="G49" s="405"/>
    </row>
    <row r="50" spans="1:7" s="99" customFormat="1" ht="15" customHeight="1" x14ac:dyDescent="0.2">
      <c r="A50" s="97"/>
      <c r="B50" s="1166" t="s">
        <v>52</v>
      </c>
      <c r="C50" s="3" t="s">
        <v>53</v>
      </c>
      <c r="D50" s="142">
        <v>10526</v>
      </c>
      <c r="E50" s="142">
        <v>11133</v>
      </c>
      <c r="F50" s="142">
        <v>14209</v>
      </c>
      <c r="G50" s="142"/>
    </row>
    <row r="51" spans="1:7" s="99" customFormat="1" ht="15" hidden="1" customHeight="1" x14ac:dyDescent="0.2">
      <c r="A51" s="97"/>
      <c r="B51" s="1166"/>
      <c r="C51" s="400" t="s">
        <v>535</v>
      </c>
      <c r="D51" s="405"/>
      <c r="E51" s="405"/>
      <c r="F51" s="405"/>
      <c r="G51" s="405"/>
    </row>
    <row r="52" spans="1:7" s="99" customFormat="1" ht="15" customHeight="1" x14ac:dyDescent="0.2">
      <c r="A52" s="97"/>
      <c r="B52" s="1166" t="s">
        <v>54</v>
      </c>
      <c r="C52" s="3" t="s">
        <v>55</v>
      </c>
      <c r="D52" s="142">
        <v>8413</v>
      </c>
      <c r="E52" s="142">
        <v>8543</v>
      </c>
      <c r="F52" s="142">
        <v>8134</v>
      </c>
      <c r="G52" s="142"/>
    </row>
    <row r="53" spans="1:7" s="99" customFormat="1" ht="15" hidden="1" customHeight="1" x14ac:dyDescent="0.2">
      <c r="A53" s="97"/>
      <c r="B53" s="1166"/>
      <c r="C53" s="400" t="s">
        <v>535</v>
      </c>
      <c r="D53" s="405"/>
      <c r="E53" s="405"/>
      <c r="F53" s="405"/>
      <c r="G53" s="405"/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thickBot="1" x14ac:dyDescent="0.25">
      <c r="A56" s="1132" t="s">
        <v>3</v>
      </c>
      <c r="B56" s="2"/>
      <c r="C56" s="1156" t="s">
        <v>1523</v>
      </c>
      <c r="D56" s="141">
        <f>SUM(D57:D60)</f>
        <v>0</v>
      </c>
      <c r="E56" s="141">
        <f t="shared" ref="E56:F56" si="3">SUM(E57:E60)</f>
        <v>0</v>
      </c>
      <c r="F56" s="141">
        <f t="shared" si="3"/>
        <v>254</v>
      </c>
      <c r="G56" s="141" t="e">
        <f>F56/E56*100</f>
        <v>#DIV/0!</v>
      </c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0</v>
      </c>
      <c r="F57" s="147">
        <v>254</v>
      </c>
      <c r="G57" s="147"/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thickBot="1" x14ac:dyDescent="0.25">
      <c r="A60" s="97"/>
      <c r="B60" s="1166"/>
      <c r="C60" s="3"/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thickBot="1" x14ac:dyDescent="0.25">
      <c r="A61" s="1132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thickBot="1" x14ac:dyDescent="0.25">
      <c r="A62" s="1132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+D47+D56+D61</f>
        <v>58011</v>
      </c>
      <c r="E63" s="152">
        <f t="shared" ref="E63:F63" si="4">+E47+E56+E61</f>
        <v>61008</v>
      </c>
      <c r="F63" s="152">
        <f t="shared" si="4"/>
        <v>74496</v>
      </c>
      <c r="G63" s="152">
        <f>F63/E63*100</f>
        <v>122.10857592446894</v>
      </c>
    </row>
    <row r="64" spans="1:7" s="99" customFormat="1" ht="15" customHeight="1" thickBot="1" x14ac:dyDescent="0.25">
      <c r="A64" s="403"/>
      <c r="B64" s="336"/>
      <c r="C64" s="355" t="s">
        <v>544</v>
      </c>
      <c r="D64" s="388">
        <f>SUM(D49+D51+D53)</f>
        <v>0</v>
      </c>
      <c r="E64" s="388">
        <f t="shared" ref="E64:F64" si="5">SUM(E49+E51+E53)</f>
        <v>0</v>
      </c>
      <c r="F64" s="388">
        <f t="shared" si="5"/>
        <v>0</v>
      </c>
      <c r="G64" s="388" t="e">
        <f>F64/E64*100</f>
        <v>#DIV/0!</v>
      </c>
    </row>
    <row r="65" spans="1:7" s="99" customFormat="1" ht="15" customHeight="1" thickBot="1" x14ac:dyDescent="0.25">
      <c r="A65" s="133" t="s">
        <v>136</v>
      </c>
      <c r="B65" s="134"/>
      <c r="C65" s="135"/>
      <c r="D65" s="356">
        <v>18</v>
      </c>
      <c r="E65" s="356">
        <v>18</v>
      </c>
      <c r="F65" s="136">
        <v>20</v>
      </c>
      <c r="G65" s="356"/>
    </row>
    <row r="66" spans="1:7" s="99" customFormat="1" ht="15" customHeight="1" thickBot="1" x14ac:dyDescent="0.25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7559055118110237" top="0.31496062992125984" bottom="0.19685039370078741" header="0.51181102362204722" footer="0.15748031496062992"/>
  <pageSetup paperSize="9" scale="70" firstPageNumber="72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"/>
  <sheetViews>
    <sheetView view="pageBreakPreview" topLeftCell="A17" zoomScaleNormal="110" zoomScaleSheetLayoutView="100" workbookViewId="0">
      <selection activeCell="K33" sqref="K33"/>
    </sheetView>
  </sheetViews>
  <sheetFormatPr defaultRowHeight="15.75" x14ac:dyDescent="0.2"/>
  <cols>
    <col min="1" max="1" width="6.83203125" style="11" customWidth="1"/>
    <col min="2" max="2" width="45.33203125" style="12" customWidth="1"/>
    <col min="3" max="3" width="12.83203125" style="11" hidden="1" customWidth="1"/>
    <col min="4" max="4" width="13.1640625" style="11" hidden="1" customWidth="1"/>
    <col min="5" max="5" width="12.83203125" style="11" customWidth="1"/>
    <col min="6" max="6" width="45.33203125" style="11" customWidth="1"/>
    <col min="7" max="7" width="13" style="11" hidden="1" customWidth="1"/>
    <col min="8" max="8" width="13.33203125" style="11" hidden="1" customWidth="1"/>
    <col min="9" max="9" width="12.6640625" style="11" customWidth="1"/>
    <col min="10" max="10" width="14" style="11" customWidth="1"/>
    <col min="11" max="12" width="9.83203125" style="326" bestFit="1" customWidth="1"/>
    <col min="13" max="16384" width="9.33203125" style="11"/>
  </cols>
  <sheetData>
    <row r="1" spans="1:12" ht="39.75" customHeight="1" x14ac:dyDescent="0.2">
      <c r="A1" s="1517" t="s">
        <v>1883</v>
      </c>
      <c r="B1" s="1517"/>
      <c r="C1" s="1517"/>
      <c r="D1" s="1517"/>
      <c r="E1" s="1517"/>
      <c r="F1" s="1517"/>
      <c r="G1" s="1517"/>
      <c r="H1" s="1517"/>
      <c r="I1" s="1517"/>
      <c r="J1" s="1040"/>
    </row>
    <row r="2" spans="1:12" ht="16.5" customHeight="1" thickBot="1" x14ac:dyDescent="0.25">
      <c r="G2" s="1515" t="s">
        <v>117</v>
      </c>
      <c r="H2" s="1515"/>
      <c r="I2" s="1515"/>
      <c r="J2" s="1040"/>
    </row>
    <row r="3" spans="1:12" ht="24" customHeight="1" thickBot="1" x14ac:dyDescent="0.25">
      <c r="A3" s="1516" t="s">
        <v>80</v>
      </c>
      <c r="B3" s="1516" t="s">
        <v>81</v>
      </c>
      <c r="C3" s="1516"/>
      <c r="D3" s="1516"/>
      <c r="E3" s="1516"/>
      <c r="F3" s="1516" t="s">
        <v>82</v>
      </c>
      <c r="G3" s="1516"/>
      <c r="H3" s="1516"/>
      <c r="I3" s="1516"/>
      <c r="J3" s="1040"/>
    </row>
    <row r="4" spans="1:12" s="17" customFormat="1" ht="42" customHeight="1" thickBot="1" x14ac:dyDescent="0.25">
      <c r="A4" s="1516"/>
      <c r="B4" s="14" t="s">
        <v>83</v>
      </c>
      <c r="C4" s="15" t="s">
        <v>1032</v>
      </c>
      <c r="D4" s="15" t="s">
        <v>1315</v>
      </c>
      <c r="E4" s="15" t="s">
        <v>1458</v>
      </c>
      <c r="F4" s="14" t="s">
        <v>83</v>
      </c>
      <c r="G4" s="15" t="s">
        <v>1032</v>
      </c>
      <c r="H4" s="15" t="s">
        <v>1315</v>
      </c>
      <c r="I4" s="15" t="s">
        <v>1458</v>
      </c>
      <c r="J4" s="1040"/>
      <c r="K4" s="957"/>
      <c r="L4" s="957"/>
    </row>
    <row r="5" spans="1:12" s="17" customFormat="1" ht="15" customHeight="1" thickBot="1" x14ac:dyDescent="0.25">
      <c r="A5" s="13">
        <v>1</v>
      </c>
      <c r="B5" s="14">
        <v>2</v>
      </c>
      <c r="C5" s="15">
        <v>3</v>
      </c>
      <c r="D5" s="15">
        <v>9</v>
      </c>
      <c r="E5" s="15">
        <v>5</v>
      </c>
      <c r="F5" s="14">
        <v>6</v>
      </c>
      <c r="G5" s="16">
        <v>7</v>
      </c>
      <c r="H5" s="16">
        <v>8</v>
      </c>
      <c r="I5" s="16">
        <v>9</v>
      </c>
      <c r="J5" s="1040"/>
      <c r="K5" s="957"/>
      <c r="L5" s="957"/>
    </row>
    <row r="6" spans="1:12" ht="31.5" customHeight="1" x14ac:dyDescent="0.2">
      <c r="A6" s="62" t="s">
        <v>2</v>
      </c>
      <c r="B6" s="20" t="s">
        <v>1630</v>
      </c>
      <c r="C6" s="21" t="e">
        <f>SUM(#REF!)</f>
        <v>#REF!</v>
      </c>
      <c r="D6" s="21" t="e">
        <f>SUM(#REF!)</f>
        <v>#REF!</v>
      </c>
      <c r="E6" s="21">
        <f>SUM('2. sz. mell'!F30)</f>
        <v>0</v>
      </c>
      <c r="F6" s="20" t="s">
        <v>63</v>
      </c>
      <c r="G6" s="22" t="e">
        <f>SUM(#REF!)</f>
        <v>#REF!</v>
      </c>
      <c r="H6" s="22" t="e">
        <f>SUM(#REF!)</f>
        <v>#REF!</v>
      </c>
      <c r="I6" s="22">
        <f>SUM('2. sz. mell'!F57)</f>
        <v>137509</v>
      </c>
      <c r="J6" s="326"/>
      <c r="L6" s="326">
        <f>SUM(I6:I7)</f>
        <v>152509</v>
      </c>
    </row>
    <row r="7" spans="1:12" ht="15" customHeight="1" x14ac:dyDescent="0.2">
      <c r="A7" s="63" t="s">
        <v>3</v>
      </c>
      <c r="B7" s="24" t="s">
        <v>1587</v>
      </c>
      <c r="C7" s="25"/>
      <c r="D7" s="25"/>
      <c r="E7" s="25">
        <f>SUM('2. sz. mell'!F29)</f>
        <v>250000</v>
      </c>
      <c r="F7" s="24" t="s">
        <v>64</v>
      </c>
      <c r="G7" s="27" t="e">
        <f>SUM(#REF!)</f>
        <v>#REF!</v>
      </c>
      <c r="H7" s="27" t="e">
        <f>SUM(#REF!)</f>
        <v>#REF!</v>
      </c>
      <c r="I7" s="27">
        <f>SUM('2. sz. mell'!F58)</f>
        <v>15000</v>
      </c>
      <c r="J7" s="1040"/>
    </row>
    <row r="8" spans="1:12" ht="15" customHeight="1" x14ac:dyDescent="0.2">
      <c r="A8" s="63" t="s">
        <v>12</v>
      </c>
      <c r="B8" s="24" t="s">
        <v>1631</v>
      </c>
      <c r="C8" s="25" t="e">
        <f>SUM(#REF!)</f>
        <v>#REF!</v>
      </c>
      <c r="D8" s="25" t="e">
        <f>SUM(#REF!)</f>
        <v>#REF!</v>
      </c>
      <c r="E8" s="25">
        <f>SUM('2. sz. mell'!F31)</f>
        <v>1000</v>
      </c>
      <c r="F8" s="24" t="s">
        <v>66</v>
      </c>
      <c r="G8" s="27"/>
      <c r="H8" s="27"/>
      <c r="I8" s="27">
        <f>SUM('2. sz. mell'!F59)</f>
        <v>107272</v>
      </c>
      <c r="J8" s="1040"/>
    </row>
    <row r="9" spans="1:12" ht="15" customHeight="1" x14ac:dyDescent="0.2">
      <c r="A9" s="63" t="s">
        <v>68</v>
      </c>
      <c r="B9" s="24"/>
      <c r="C9" s="25"/>
      <c r="D9" s="25"/>
      <c r="E9" s="25"/>
      <c r="F9" s="24"/>
      <c r="G9" s="27"/>
      <c r="H9" s="27"/>
      <c r="I9" s="27"/>
      <c r="J9" s="1040"/>
    </row>
    <row r="10" spans="1:12" ht="30.75" hidden="1" customHeight="1" x14ac:dyDescent="0.2">
      <c r="A10" s="63" t="s">
        <v>27</v>
      </c>
      <c r="B10" s="24"/>
      <c r="C10" s="25"/>
      <c r="D10" s="25"/>
      <c r="E10" s="25"/>
      <c r="F10" s="24"/>
      <c r="G10" s="27"/>
      <c r="H10" s="27"/>
      <c r="I10" s="27"/>
      <c r="J10" s="1040"/>
    </row>
    <row r="11" spans="1:12" ht="31.5" hidden="1" customHeight="1" x14ac:dyDescent="0.2">
      <c r="A11" s="63" t="s">
        <v>32</v>
      </c>
      <c r="B11" s="24"/>
      <c r="C11" s="28"/>
      <c r="D11" s="28"/>
      <c r="E11" s="28"/>
      <c r="F11" s="24"/>
      <c r="G11" s="27"/>
      <c r="H11" s="27"/>
      <c r="I11" s="27"/>
      <c r="J11" s="1040"/>
    </row>
    <row r="12" spans="1:12" ht="15" hidden="1" customHeight="1" x14ac:dyDescent="0.2">
      <c r="A12" s="63" t="s">
        <v>74</v>
      </c>
      <c r="B12" s="24"/>
      <c r="C12" s="25" t="e">
        <f>SUM(#REF!)</f>
        <v>#REF!</v>
      </c>
      <c r="D12" s="25" t="e">
        <f>SUM(#REF!)+#REF!</f>
        <v>#REF!</v>
      </c>
      <c r="E12" s="25"/>
      <c r="G12" s="27" t="e">
        <f>SUM(#REF!)</f>
        <v>#REF!</v>
      </c>
      <c r="H12" s="27" t="e">
        <f>SUM(#REF!)</f>
        <v>#REF!</v>
      </c>
      <c r="I12" s="27"/>
      <c r="J12" s="1040"/>
    </row>
    <row r="13" spans="1:12" ht="30" hidden="1" customHeight="1" x14ac:dyDescent="0.2">
      <c r="A13" s="63" t="s">
        <v>38</v>
      </c>
      <c r="B13" s="24"/>
      <c r="C13" s="25" t="e">
        <f>SUM(#REF!)</f>
        <v>#REF!</v>
      </c>
      <c r="D13" s="25" t="e">
        <f>SUM(#REF!)</f>
        <v>#REF!</v>
      </c>
      <c r="E13" s="25"/>
      <c r="G13" s="27" t="e">
        <f>SUM(#REF!)</f>
        <v>#REF!</v>
      </c>
      <c r="H13" s="27" t="e">
        <f>SUM(#REF!)</f>
        <v>#REF!</v>
      </c>
      <c r="I13" s="27"/>
      <c r="J13" s="1040"/>
    </row>
    <row r="14" spans="1:12" ht="15" customHeight="1" x14ac:dyDescent="0.2">
      <c r="A14" s="63" t="s">
        <v>88</v>
      </c>
      <c r="B14" s="24"/>
      <c r="C14" s="28"/>
      <c r="D14" s="28"/>
      <c r="E14" s="28"/>
      <c r="F14" s="24"/>
      <c r="G14" s="27"/>
      <c r="H14" s="27" t="e">
        <f>SUM(#REF!)</f>
        <v>#REF!</v>
      </c>
      <c r="I14" s="27"/>
      <c r="J14" s="1040"/>
    </row>
    <row r="15" spans="1:12" ht="15" customHeight="1" thickBot="1" x14ac:dyDescent="0.25">
      <c r="A15" s="63" t="s">
        <v>41</v>
      </c>
      <c r="B15" s="24"/>
      <c r="C15" s="27" t="e">
        <f>SUM(#REF!)</f>
        <v>#REF!</v>
      </c>
      <c r="D15" s="27" t="e">
        <f>SUM(#REF!)</f>
        <v>#REF!</v>
      </c>
      <c r="E15" s="27"/>
      <c r="F15" s="24"/>
      <c r="G15" s="27"/>
      <c r="H15" s="27"/>
      <c r="I15" s="27"/>
      <c r="J15" s="1040"/>
    </row>
    <row r="16" spans="1:12" ht="15" customHeight="1" thickBot="1" x14ac:dyDescent="0.25">
      <c r="A16" s="64" t="s">
        <v>42</v>
      </c>
      <c r="B16" s="33" t="s">
        <v>89</v>
      </c>
      <c r="C16" s="34" t="e">
        <f>SUM(C6:C15)</f>
        <v>#REF!</v>
      </c>
      <c r="D16" s="34" t="e">
        <f>SUM(D6:D15)</f>
        <v>#REF!</v>
      </c>
      <c r="E16" s="34">
        <f>SUM(E6:E15)</f>
        <v>251000</v>
      </c>
      <c r="F16" s="33" t="s">
        <v>90</v>
      </c>
      <c r="G16" s="36" t="e">
        <f>SUM(G6:G14)-G15</f>
        <v>#REF!</v>
      </c>
      <c r="H16" s="36" t="e">
        <f>SUM(H6:H14)-H15</f>
        <v>#REF!</v>
      </c>
      <c r="I16" s="36">
        <f>SUM(I6:I14)-I15</f>
        <v>259781</v>
      </c>
      <c r="J16" s="1040"/>
    </row>
    <row r="17" spans="1:11" ht="15" customHeight="1" x14ac:dyDescent="0.2">
      <c r="A17" s="65" t="s">
        <v>45</v>
      </c>
      <c r="B17" s="38" t="s">
        <v>118</v>
      </c>
      <c r="C17" s="66" t="e">
        <f>#REF!</f>
        <v>#REF!</v>
      </c>
      <c r="D17" s="66" t="e">
        <f>#REF!</f>
        <v>#REF!</v>
      </c>
      <c r="E17" s="66"/>
      <c r="F17" s="24" t="s">
        <v>135</v>
      </c>
      <c r="G17" s="50"/>
      <c r="H17" s="50"/>
      <c r="I17" s="50">
        <f>SUM('2. sz. mell'!F75)</f>
        <v>5790</v>
      </c>
      <c r="J17" s="1040"/>
    </row>
    <row r="18" spans="1:11" ht="15" customHeight="1" x14ac:dyDescent="0.2">
      <c r="A18" s="63" t="s">
        <v>46</v>
      </c>
      <c r="B18" s="24"/>
      <c r="C18" s="710"/>
      <c r="D18" s="710"/>
      <c r="E18" s="710"/>
      <c r="F18" s="24"/>
      <c r="G18" s="43" t="e">
        <f>SUM(#REF!)</f>
        <v>#REF!</v>
      </c>
      <c r="H18" s="43" t="e">
        <f>SUM(#REF!)</f>
        <v>#REF!</v>
      </c>
      <c r="I18" s="43"/>
      <c r="J18" s="1040"/>
    </row>
    <row r="19" spans="1:11" ht="15" customHeight="1" x14ac:dyDescent="0.2">
      <c r="A19" s="63" t="s">
        <v>47</v>
      </c>
      <c r="B19" s="24"/>
      <c r="C19" s="710"/>
      <c r="D19" s="710"/>
      <c r="E19" s="710"/>
      <c r="F19" s="24"/>
      <c r="G19" s="43"/>
      <c r="H19" s="43"/>
      <c r="I19" s="43"/>
      <c r="J19" s="1040"/>
    </row>
    <row r="20" spans="1:11" ht="15" customHeight="1" x14ac:dyDescent="0.2">
      <c r="A20" s="63" t="s">
        <v>91</v>
      </c>
      <c r="B20" s="24"/>
      <c r="C20" s="710"/>
      <c r="D20" s="710"/>
      <c r="E20" s="710"/>
      <c r="F20" s="24"/>
      <c r="G20" s="43"/>
      <c r="H20" s="43"/>
      <c r="I20" s="43"/>
      <c r="J20" s="1040"/>
    </row>
    <row r="21" spans="1:11" ht="30" customHeight="1" x14ac:dyDescent="0.2">
      <c r="A21" s="63" t="s">
        <v>92</v>
      </c>
      <c r="B21" s="45"/>
      <c r="C21" s="710"/>
      <c r="D21" s="710"/>
      <c r="E21" s="710"/>
      <c r="F21" s="45"/>
      <c r="G21" s="43"/>
      <c r="H21" s="43"/>
      <c r="I21" s="43"/>
      <c r="J21" s="1040"/>
    </row>
    <row r="22" spans="1:11" ht="30.75" customHeight="1" x14ac:dyDescent="0.2">
      <c r="A22" s="63" t="s">
        <v>93</v>
      </c>
      <c r="B22" s="24"/>
      <c r="C22" s="710"/>
      <c r="D22" s="710"/>
      <c r="E22" s="710"/>
      <c r="F22" s="24"/>
      <c r="G22" s="43"/>
      <c r="H22" s="43"/>
      <c r="I22" s="43"/>
      <c r="J22" s="1040"/>
    </row>
    <row r="23" spans="1:11" ht="28.5" customHeight="1" x14ac:dyDescent="0.2">
      <c r="A23" s="63" t="s">
        <v>94</v>
      </c>
      <c r="B23" s="20"/>
      <c r="C23" s="710"/>
      <c r="D23" s="710"/>
      <c r="E23" s="710"/>
      <c r="F23" s="20"/>
      <c r="G23" s="43"/>
      <c r="H23" s="43"/>
      <c r="I23" s="43"/>
      <c r="J23" s="1040"/>
    </row>
    <row r="24" spans="1:11" ht="15" customHeight="1" thickBot="1" x14ac:dyDescent="0.25">
      <c r="A24" s="63" t="s">
        <v>95</v>
      </c>
      <c r="B24" s="48"/>
      <c r="C24" s="710"/>
      <c r="D24" s="710"/>
      <c r="E24" s="710"/>
      <c r="F24" s="24"/>
      <c r="G24" s="43" t="e">
        <f>SUM(#REF!)</f>
        <v>#REF!</v>
      </c>
      <c r="H24" s="43"/>
      <c r="I24" s="43"/>
      <c r="J24" s="1040"/>
    </row>
    <row r="25" spans="1:11" ht="15.95" customHeight="1" thickBot="1" x14ac:dyDescent="0.25">
      <c r="A25" s="64" t="s">
        <v>98</v>
      </c>
      <c r="B25" s="33" t="s">
        <v>1324</v>
      </c>
      <c r="C25" s="709" t="e">
        <f>SUM(C17:C24)</f>
        <v>#REF!</v>
      </c>
      <c r="D25" s="709" t="e">
        <f>SUM(D17:D24)</f>
        <v>#REF!</v>
      </c>
      <c r="E25" s="709">
        <f>SUM(E17:E24)</f>
        <v>0</v>
      </c>
      <c r="F25" s="33" t="s">
        <v>1466</v>
      </c>
      <c r="G25" s="67" t="e">
        <f>SUM(G17:G24)</f>
        <v>#REF!</v>
      </c>
      <c r="H25" s="67" t="e">
        <f>SUM(H17:H24)</f>
        <v>#REF!</v>
      </c>
      <c r="I25" s="36">
        <f>SUM(I17:I24)</f>
        <v>5790</v>
      </c>
      <c r="J25" s="1040"/>
    </row>
    <row r="26" spans="1:11" ht="15.95" customHeight="1" thickBot="1" x14ac:dyDescent="0.25">
      <c r="A26" s="64" t="s">
        <v>100</v>
      </c>
      <c r="B26" s="33"/>
      <c r="C26" s="709" t="e">
        <f>SUM(#REF!)</f>
        <v>#REF!</v>
      </c>
      <c r="D26" s="709" t="e">
        <f>SUM(#REF!)</f>
        <v>#REF!</v>
      </c>
      <c r="E26" s="34"/>
      <c r="F26" s="33"/>
      <c r="G26" s="67"/>
      <c r="H26" s="67"/>
      <c r="I26" s="36"/>
      <c r="J26" s="1040"/>
    </row>
    <row r="27" spans="1:11" ht="18" customHeight="1" thickBot="1" x14ac:dyDescent="0.25">
      <c r="A27" s="68" t="s">
        <v>100</v>
      </c>
      <c r="B27" s="52" t="s">
        <v>1327</v>
      </c>
      <c r="C27" s="69" t="e">
        <f>+C16+C25</f>
        <v>#REF!</v>
      </c>
      <c r="D27" s="69" t="e">
        <f>+D16+D25</f>
        <v>#REF!</v>
      </c>
      <c r="E27" s="69">
        <f>+E16+E25+E26</f>
        <v>251000</v>
      </c>
      <c r="F27" s="52" t="s">
        <v>119</v>
      </c>
      <c r="G27" s="70" t="e">
        <f>+G16+G25</f>
        <v>#REF!</v>
      </c>
      <c r="H27" s="70" t="e">
        <f>+H16+H25</f>
        <v>#REF!</v>
      </c>
      <c r="I27" s="70">
        <f>+I16+I25+I26</f>
        <v>265571</v>
      </c>
      <c r="J27" s="1040"/>
      <c r="K27" s="1039"/>
    </row>
    <row r="28" spans="1:11" ht="18" customHeight="1" thickBot="1" x14ac:dyDescent="0.25">
      <c r="A28" s="68" t="s">
        <v>101</v>
      </c>
      <c r="B28" s="71" t="s">
        <v>106</v>
      </c>
      <c r="C28" s="72" t="e">
        <f>IF(((G16-C16)&gt;0),G16-C16,"----")</f>
        <v>#REF!</v>
      </c>
      <c r="D28" s="72" t="e">
        <f>IF(((H16-D16)&gt;0),H16-D16,"----")</f>
        <v>#REF!</v>
      </c>
      <c r="E28" s="72">
        <f>IF(((I16-E16)&gt;0),I16-E16,"----")</f>
        <v>8781</v>
      </c>
      <c r="F28" s="71" t="s">
        <v>107</v>
      </c>
      <c r="G28" s="73" t="e">
        <f>IF(((C16-G16)&gt;0),C16-G16,"----")</f>
        <v>#REF!</v>
      </c>
      <c r="H28" s="73" t="e">
        <f>IF(((D16-H16)&gt;0),D16-H16,"----")</f>
        <v>#REF!</v>
      </c>
      <c r="I28" s="73" t="str">
        <f>IF(((E16-I16)&gt;0),E16-I16,"----")</f>
        <v>----</v>
      </c>
      <c r="J28" s="1040"/>
    </row>
    <row r="29" spans="1:11" x14ac:dyDescent="0.2">
      <c r="J29" s="74"/>
    </row>
    <row r="30" spans="1:11" x14ac:dyDescent="0.2">
      <c r="J30" s="74"/>
    </row>
    <row r="31" spans="1:11" x14ac:dyDescent="0.2">
      <c r="B31" s="57"/>
      <c r="J31" s="74"/>
    </row>
    <row r="32" spans="1:11" x14ac:dyDescent="0.2">
      <c r="B32" s="958" t="s">
        <v>1377</v>
      </c>
      <c r="C32" s="326">
        <v>358195</v>
      </c>
      <c r="D32" s="326">
        <v>489482</v>
      </c>
      <c r="E32" s="326">
        <v>467194</v>
      </c>
    </row>
    <row r="34" spans="2:5" x14ac:dyDescent="0.2">
      <c r="B34" s="965" t="s">
        <v>1378</v>
      </c>
      <c r="C34" s="966" t="e">
        <f>SUM(C32-C16)</f>
        <v>#REF!</v>
      </c>
      <c r="D34" s="966" t="e">
        <f>SUM(D32-D16)</f>
        <v>#REF!</v>
      </c>
      <c r="E34" s="966">
        <f>SUM(E32-E16)</f>
        <v>216194</v>
      </c>
    </row>
  </sheetData>
  <sheetProtection selectLockedCells="1" selectUnlockedCells="1"/>
  <mergeCells count="5">
    <mergeCell ref="G2:I2"/>
    <mergeCell ref="A3:A4"/>
    <mergeCell ref="B3:E3"/>
    <mergeCell ref="F3:I3"/>
    <mergeCell ref="A1:I1"/>
  </mergeCells>
  <printOptions horizontalCentered="1"/>
  <pageMargins left="0.23622047244094491" right="0.15748031496062992" top="0.47244094488188981" bottom="0.43307086614173229" header="0.19685039370078741" footer="0.19685039370078741"/>
  <pageSetup paperSize="9" scale="90" firstPageNumber="43" orientation="landscape" r:id="rId1"/>
  <headerFooter alignWithMargins="0">
    <oddHeader>&amp;R&amp;"Times New Roman ,Normál"&amp;12 1.2. sz. melléklet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64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83203125" style="76" customWidth="1"/>
    <col min="4" max="4" width="13.6640625" style="76" hidden="1" customWidth="1"/>
    <col min="5" max="5" width="13.83203125" style="76" hidden="1" customWidth="1"/>
    <col min="6" max="6" width="21.1640625" style="76" customWidth="1"/>
    <col min="7" max="7" width="9.5" style="76" hidden="1" customWidth="1"/>
    <col min="8" max="8" width="9.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1798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560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1503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9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1132" t="s">
        <v>3</v>
      </c>
      <c r="B19" s="94"/>
      <c r="C19" s="1142" t="s">
        <v>1482</v>
      </c>
      <c r="D19" s="141">
        <f>SUM(D20:D26)-D22</f>
        <v>53245</v>
      </c>
      <c r="E19" s="141">
        <f>SUM(E20:E26)-E22</f>
        <v>54476</v>
      </c>
      <c r="F19" s="141">
        <f>SUM(F20:F26)-F21</f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53245</v>
      </c>
      <c r="E20" s="142">
        <v>54476</v>
      </c>
      <c r="F20" s="142">
        <v>0</v>
      </c>
      <c r="G20" s="142"/>
    </row>
    <row r="21" spans="1:7" s="99" customFormat="1" ht="15" hidden="1" customHeight="1" x14ac:dyDescent="0.2">
      <c r="A21" s="1173"/>
      <c r="B21" s="1168"/>
      <c r="C21" s="1151"/>
      <c r="D21" s="1174"/>
      <c r="E21" s="1174"/>
      <c r="F21" s="1174"/>
      <c r="G21" s="1174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/>
      <c r="E22" s="142"/>
      <c r="F22" s="142">
        <v>0</v>
      </c>
      <c r="G22" s="142"/>
    </row>
    <row r="23" spans="1:7" s="99" customFormat="1" ht="15" customHeight="1" x14ac:dyDescent="0.2">
      <c r="A23" s="97"/>
      <c r="B23" s="1148" t="s">
        <v>255</v>
      </c>
      <c r="C23" s="1152" t="s">
        <v>1484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x14ac:dyDescent="0.2">
      <c r="A25" s="1173"/>
      <c r="B25" s="1148" t="s">
        <v>6</v>
      </c>
      <c r="C25" s="1144" t="s">
        <v>1485</v>
      </c>
      <c r="D25" s="1174"/>
      <c r="E25" s="1174"/>
      <c r="F25" s="1174">
        <v>0</v>
      </c>
      <c r="G25" s="1174"/>
    </row>
    <row r="26" spans="1:7" s="99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0</v>
      </c>
      <c r="F26" s="142">
        <v>0</v>
      </c>
      <c r="G26" s="142"/>
    </row>
    <row r="27" spans="1:7" s="99" customFormat="1" ht="15" customHeight="1" thickBot="1" x14ac:dyDescent="0.25">
      <c r="A27" s="1132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6" customFormat="1" ht="15" customHeight="1" thickBot="1" x14ac:dyDescent="0.25">
      <c r="A28" s="1132"/>
      <c r="B28" s="1148" t="s">
        <v>13</v>
      </c>
      <c r="C28" s="1144" t="s">
        <v>1488</v>
      </c>
      <c r="D28" s="119">
        <v>0</v>
      </c>
      <c r="E28" s="119">
        <v>0</v>
      </c>
      <c r="F28" s="1188">
        <v>0</v>
      </c>
      <c r="G28" s="119"/>
    </row>
    <row r="29" spans="1:7" s="96" customFormat="1" ht="15" customHeight="1" thickBot="1" x14ac:dyDescent="0.25">
      <c r="A29" s="1139" t="s">
        <v>68</v>
      </c>
      <c r="B29" s="94"/>
      <c r="C29" s="1156" t="s">
        <v>1505</v>
      </c>
      <c r="D29" s="148">
        <f>+D30+D32</f>
        <v>0</v>
      </c>
      <c r="E29" s="148">
        <f t="shared" ref="E29:F29" si="1">+E30+E32</f>
        <v>127</v>
      </c>
      <c r="F29" s="148">
        <f t="shared" si="1"/>
        <v>0</v>
      </c>
      <c r="G29" s="148"/>
    </row>
    <row r="30" spans="1:7" s="96" customFormat="1" ht="15" customHeight="1" x14ac:dyDescent="0.2">
      <c r="A30" s="1133"/>
      <c r="B30" s="1160" t="s">
        <v>133</v>
      </c>
      <c r="C30" s="1144" t="s">
        <v>1489</v>
      </c>
      <c r="D30" s="149">
        <v>0</v>
      </c>
      <c r="E30" s="149">
        <v>127</v>
      </c>
      <c r="F30" s="1176">
        <v>0</v>
      </c>
      <c r="G30" s="149"/>
    </row>
    <row r="31" spans="1:7" s="96" customFormat="1" ht="15" customHeight="1" x14ac:dyDescent="0.2">
      <c r="A31" s="100"/>
      <c r="B31" s="1160" t="s">
        <v>983</v>
      </c>
      <c r="C31" s="1144" t="s">
        <v>1490</v>
      </c>
      <c r="D31" s="1175"/>
      <c r="E31" s="1175"/>
      <c r="F31" s="1175">
        <v>0</v>
      </c>
      <c r="G31" s="1175"/>
    </row>
    <row r="32" spans="1:7" s="96" customFormat="1" ht="15" customHeight="1" thickBot="1" x14ac:dyDescent="0.25">
      <c r="A32" s="1134"/>
      <c r="B32" s="1160" t="s">
        <v>149</v>
      </c>
      <c r="C32" s="1144" t="s">
        <v>1491</v>
      </c>
      <c r="D32" s="146">
        <v>0</v>
      </c>
      <c r="E32" s="146">
        <v>0</v>
      </c>
      <c r="F32" s="146">
        <v>0</v>
      </c>
      <c r="G32" s="146"/>
    </row>
    <row r="33" spans="1:9" s="99" customFormat="1" ht="28.5" customHeight="1" thickBot="1" x14ac:dyDescent="0.25">
      <c r="A33" s="1139" t="s">
        <v>27</v>
      </c>
      <c r="B33" s="1161"/>
      <c r="C33" s="1156" t="s">
        <v>1506</v>
      </c>
      <c r="D33" s="119">
        <v>4766</v>
      </c>
      <c r="E33" s="119">
        <v>6405</v>
      </c>
      <c r="F33" s="119">
        <v>0</v>
      </c>
      <c r="G33" s="119"/>
      <c r="I33" s="110">
        <f>SUM(F61-F42)</f>
        <v>0</v>
      </c>
    </row>
    <row r="34" spans="1:9" s="99" customFormat="1" ht="28.5" customHeight="1" thickBot="1" x14ac:dyDescent="0.25">
      <c r="A34" s="1177"/>
      <c r="B34" s="1162" t="s">
        <v>28</v>
      </c>
      <c r="C34" s="1151" t="s">
        <v>1492</v>
      </c>
      <c r="D34" s="1178"/>
      <c r="E34" s="1178"/>
      <c r="F34" s="1186">
        <v>0</v>
      </c>
      <c r="G34" s="1178"/>
      <c r="I34" s="110"/>
    </row>
    <row r="35" spans="1:9" s="99" customFormat="1" ht="28.5" hidden="1" customHeight="1" thickBot="1" x14ac:dyDescent="0.25">
      <c r="A35" s="1177"/>
      <c r="B35" s="1179"/>
      <c r="C35" s="5"/>
      <c r="D35" s="1178"/>
      <c r="E35" s="1178"/>
      <c r="F35" s="1178"/>
      <c r="G35" s="1178"/>
      <c r="I35" s="110"/>
    </row>
    <row r="36" spans="1:9" s="99" customFormat="1" ht="15.75" thickBot="1" x14ac:dyDescent="0.3">
      <c r="A36" s="116" t="s">
        <v>32</v>
      </c>
      <c r="B36" s="117"/>
      <c r="C36" s="1142" t="s">
        <v>1493</v>
      </c>
      <c r="D36" s="1178"/>
      <c r="E36" s="1178"/>
      <c r="F36" s="1178">
        <v>0</v>
      </c>
      <c r="G36" s="1178"/>
      <c r="I36" s="110"/>
    </row>
    <row r="37" spans="1:9" s="99" customFormat="1" ht="30.75" thickBot="1" x14ac:dyDescent="0.25">
      <c r="A37" s="1180"/>
      <c r="B37" s="1164" t="s">
        <v>33</v>
      </c>
      <c r="C37" s="1144" t="s">
        <v>1494</v>
      </c>
      <c r="D37" s="1178"/>
      <c r="E37" s="1178"/>
      <c r="F37" s="1186">
        <v>0</v>
      </c>
      <c r="G37" s="1178"/>
      <c r="I37" s="110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9"/>
      <c r="E38" s="119"/>
      <c r="F38" s="119">
        <f>SUM(F39:F41)</f>
        <v>0</v>
      </c>
      <c r="G38" s="119"/>
    </row>
    <row r="39" spans="1:9" s="99" customFormat="1" ht="15" customHeight="1" thickBot="1" x14ac:dyDescent="0.25">
      <c r="A39" s="1140"/>
      <c r="B39" s="1160" t="s">
        <v>36</v>
      </c>
      <c r="C39" s="1144" t="s">
        <v>1496</v>
      </c>
      <c r="D39" s="1178"/>
      <c r="E39" s="1178"/>
      <c r="F39" s="1176">
        <v>0</v>
      </c>
      <c r="G39" s="1178"/>
    </row>
    <row r="40" spans="1:9" s="99" customFormat="1" ht="15" customHeight="1" thickBot="1" x14ac:dyDescent="0.25">
      <c r="A40" s="100"/>
      <c r="B40" s="1160" t="s">
        <v>37</v>
      </c>
      <c r="C40" s="1144" t="s">
        <v>1497</v>
      </c>
      <c r="D40" s="1178"/>
      <c r="E40" s="1178"/>
      <c r="F40" s="1175">
        <v>0</v>
      </c>
      <c r="G40" s="1178"/>
    </row>
    <row r="41" spans="1:9" s="99" customFormat="1" ht="15" customHeight="1" thickBot="1" x14ac:dyDescent="0.25">
      <c r="A41" s="1141"/>
      <c r="B41" s="1160" t="s">
        <v>1499</v>
      </c>
      <c r="C41" s="1144" t="s">
        <v>1498</v>
      </c>
      <c r="D41" s="1178"/>
      <c r="E41" s="1178"/>
      <c r="F41" s="146">
        <v>0</v>
      </c>
      <c r="G41" s="1178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SUM(D8,D19,D27,D28,D29,D33)</f>
        <v>58011</v>
      </c>
      <c r="E42" s="152">
        <f>SUM(E8,E19,E27,E28,E29,E33)</f>
        <v>61008</v>
      </c>
      <c r="F42" s="152">
        <f>SUM(F8,F19,F27,F28,F29,F33)</f>
        <v>0</v>
      </c>
      <c r="G42" s="152">
        <f>F42/E42*100</f>
        <v>0</v>
      </c>
      <c r="I42" s="110"/>
    </row>
    <row r="43" spans="1:9" s="99" customFormat="1" ht="15" customHeight="1" thickBot="1" x14ac:dyDescent="0.25">
      <c r="A43" s="131"/>
      <c r="B43" s="132"/>
      <c r="C43" s="132"/>
      <c r="D43" s="390"/>
      <c r="E43" s="390"/>
      <c r="F43" s="390"/>
      <c r="G43" s="390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156" t="s">
        <v>49</v>
      </c>
      <c r="D45" s="141">
        <f>SUM(D46+D48+D50)</f>
        <v>58011</v>
      </c>
      <c r="E45" s="141">
        <f t="shared" ref="E45:F45" si="2">SUM(E46+E48+E50)</f>
        <v>61008</v>
      </c>
      <c r="F45" s="141">
        <f t="shared" si="2"/>
        <v>0</v>
      </c>
      <c r="G45" s="141">
        <f>F45/E45*100</f>
        <v>0</v>
      </c>
    </row>
    <row r="46" spans="1:9" s="99" customFormat="1" ht="15" customHeight="1" x14ac:dyDescent="0.2">
      <c r="A46" s="113"/>
      <c r="B46" s="1165" t="s">
        <v>50</v>
      </c>
      <c r="C46" s="7" t="s">
        <v>51</v>
      </c>
      <c r="D46" s="147">
        <v>39072</v>
      </c>
      <c r="E46" s="147">
        <v>41332</v>
      </c>
      <c r="F46" s="147">
        <v>0</v>
      </c>
      <c r="G46" s="147"/>
    </row>
    <row r="47" spans="1:9" s="99" customFormat="1" ht="15" hidden="1" customHeight="1" x14ac:dyDescent="0.2">
      <c r="A47" s="113"/>
      <c r="B47" s="1165"/>
      <c r="C47" s="400" t="s">
        <v>535</v>
      </c>
      <c r="D47" s="405"/>
      <c r="E47" s="405"/>
      <c r="F47" s="405"/>
      <c r="G47" s="405"/>
    </row>
    <row r="48" spans="1:9" s="99" customFormat="1" ht="15" customHeight="1" x14ac:dyDescent="0.2">
      <c r="A48" s="97"/>
      <c r="B48" s="1166" t="s">
        <v>52</v>
      </c>
      <c r="C48" s="3" t="s">
        <v>53</v>
      </c>
      <c r="D48" s="142">
        <v>10526</v>
      </c>
      <c r="E48" s="142">
        <v>11133</v>
      </c>
      <c r="F48" s="142">
        <v>0</v>
      </c>
      <c r="G48" s="142"/>
    </row>
    <row r="49" spans="1:7" s="99" customFormat="1" ht="15" hidden="1" customHeight="1" x14ac:dyDescent="0.2">
      <c r="A49" s="97"/>
      <c r="B49" s="1166"/>
      <c r="C49" s="400" t="s">
        <v>535</v>
      </c>
      <c r="D49" s="405"/>
      <c r="E49" s="405"/>
      <c r="F49" s="405"/>
      <c r="G49" s="405"/>
    </row>
    <row r="50" spans="1:7" s="99" customFormat="1" ht="15" customHeight="1" x14ac:dyDescent="0.2">
      <c r="A50" s="97"/>
      <c r="B50" s="1166" t="s">
        <v>54</v>
      </c>
      <c r="C50" s="3" t="s">
        <v>55</v>
      </c>
      <c r="D50" s="142">
        <v>8413</v>
      </c>
      <c r="E50" s="142">
        <v>8543</v>
      </c>
      <c r="F50" s="142">
        <v>0</v>
      </c>
      <c r="G50" s="142"/>
    </row>
    <row r="51" spans="1:7" s="99" customFormat="1" ht="15" hidden="1" customHeight="1" x14ac:dyDescent="0.2">
      <c r="A51" s="97"/>
      <c r="B51" s="1166"/>
      <c r="C51" s="400" t="s">
        <v>535</v>
      </c>
      <c r="D51" s="405"/>
      <c r="E51" s="405"/>
      <c r="F51" s="405"/>
      <c r="G51" s="405"/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2" t="s">
        <v>3</v>
      </c>
      <c r="B54" s="2"/>
      <c r="C54" s="1156" t="s">
        <v>519</v>
      </c>
      <c r="D54" s="141">
        <f>SUM(D55:D58)</f>
        <v>0</v>
      </c>
      <c r="E54" s="141">
        <f t="shared" ref="E54:F54" si="3">SUM(E55:E58)</f>
        <v>0</v>
      </c>
      <c r="F54" s="141">
        <f t="shared" si="3"/>
        <v>0</v>
      </c>
      <c r="G54" s="141" t="e">
        <f>F54/E54*100</f>
        <v>#DIV/0!</v>
      </c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0</v>
      </c>
      <c r="F55" s="147">
        <v>0</v>
      </c>
      <c r="G55" s="147"/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4.2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+D45+D54+D59</f>
        <v>58011</v>
      </c>
      <c r="E61" s="152">
        <f t="shared" ref="E61" si="4">+E45+E54+E59</f>
        <v>61008</v>
      </c>
      <c r="F61" s="152">
        <f>F45+F54</f>
        <v>0</v>
      </c>
      <c r="G61" s="152">
        <f>F61/E61*100</f>
        <v>0</v>
      </c>
    </row>
    <row r="62" spans="1:7" s="99" customFormat="1" ht="15" customHeight="1" thickBot="1" x14ac:dyDescent="0.25">
      <c r="A62" s="403"/>
      <c r="B62" s="336"/>
      <c r="C62" s="355" t="s">
        <v>544</v>
      </c>
      <c r="D62" s="388">
        <f>SUM(D47+D49+D51)</f>
        <v>0</v>
      </c>
      <c r="E62" s="388">
        <f t="shared" ref="E62:F62" si="5">SUM(E47+E49+E51)</f>
        <v>0</v>
      </c>
      <c r="F62" s="388">
        <f t="shared" si="5"/>
        <v>0</v>
      </c>
      <c r="G62" s="388" t="e">
        <f>F62/E62*100</f>
        <v>#DIV/0!</v>
      </c>
    </row>
    <row r="63" spans="1:7" s="99" customFormat="1" ht="15" customHeight="1" thickBot="1" x14ac:dyDescent="0.25">
      <c r="A63" s="133" t="s">
        <v>136</v>
      </c>
      <c r="B63" s="134"/>
      <c r="C63" s="135"/>
      <c r="D63" s="356">
        <v>18</v>
      </c>
      <c r="E63" s="356">
        <v>18</v>
      </c>
      <c r="F63" s="136"/>
      <c r="G63" s="35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7559055118110237" top="0.31496062992125984" bottom="0.19685039370078741" header="0.51181102362204722" footer="0.15748031496062992"/>
  <pageSetup paperSize="9" scale="85" firstPageNumber="72" orientation="portrait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64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83203125" style="76" customWidth="1"/>
    <col min="4" max="4" width="13.6640625" style="76" hidden="1" customWidth="1"/>
    <col min="5" max="5" width="13.83203125" style="76" hidden="1" customWidth="1"/>
    <col min="6" max="6" width="20.6640625" style="76" customWidth="1"/>
    <col min="7" max="7" width="9.5" style="76" hidden="1" customWidth="1"/>
    <col min="8" max="8" width="9.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1799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560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1509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9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1132" t="s">
        <v>3</v>
      </c>
      <c r="B19" s="94"/>
      <c r="C19" s="1142" t="s">
        <v>1482</v>
      </c>
      <c r="D19" s="141">
        <f>SUM(D20:D26)-D21</f>
        <v>53245</v>
      </c>
      <c r="E19" s="141">
        <f t="shared" ref="E19" si="1">SUM(E20:E26)-E21</f>
        <v>54476</v>
      </c>
      <c r="F19" s="141">
        <f>SUM(F20:F26)-F21</f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53245</v>
      </c>
      <c r="E20" s="142">
        <v>54476</v>
      </c>
      <c r="F20" s="142">
        <v>0</v>
      </c>
      <c r="G20" s="142"/>
    </row>
    <row r="21" spans="1:7" s="99" customFormat="1" ht="15" hidden="1" customHeight="1" x14ac:dyDescent="0.2">
      <c r="A21" s="97"/>
      <c r="B21" s="1168"/>
      <c r="C21" s="1151"/>
      <c r="D21" s="142"/>
      <c r="E21" s="142"/>
      <c r="F21" s="142"/>
      <c r="G21" s="142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>
        <v>0</v>
      </c>
      <c r="E22" s="142">
        <v>0</v>
      </c>
      <c r="F22" s="142">
        <v>0</v>
      </c>
      <c r="G22" s="142"/>
    </row>
    <row r="23" spans="1:7" s="99" customFormat="1" ht="15" customHeight="1" x14ac:dyDescent="0.2">
      <c r="A23" s="97"/>
      <c r="B23" s="1148" t="s">
        <v>255</v>
      </c>
      <c r="C23" s="1152" t="s">
        <v>1484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212</v>
      </c>
      <c r="C24" s="3" t="s">
        <v>501</v>
      </c>
      <c r="D24" s="1174"/>
      <c r="E24" s="1174"/>
      <c r="F24" s="1174">
        <v>0</v>
      </c>
      <c r="G24" s="1174"/>
    </row>
    <row r="25" spans="1:7" s="99" customFormat="1" ht="15" customHeight="1" x14ac:dyDescent="0.2">
      <c r="A25" s="1173"/>
      <c r="B25" s="1148" t="s">
        <v>6</v>
      </c>
      <c r="C25" s="1144" t="s">
        <v>1485</v>
      </c>
      <c r="D25" s="1174"/>
      <c r="E25" s="1174"/>
      <c r="F25" s="1174">
        <v>0</v>
      </c>
      <c r="G25" s="1174"/>
    </row>
    <row r="26" spans="1:7" s="99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0</v>
      </c>
      <c r="F26" s="142">
        <v>0</v>
      </c>
      <c r="G26" s="142"/>
    </row>
    <row r="27" spans="1:7" s="99" customFormat="1" ht="15" customHeight="1" thickBot="1" x14ac:dyDescent="0.25">
      <c r="A27" s="1139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9" customFormat="1" ht="15" customHeight="1" thickBot="1" x14ac:dyDescent="0.25">
      <c r="A28" s="1139"/>
      <c r="B28" s="1148" t="s">
        <v>13</v>
      </c>
      <c r="C28" s="1144" t="s">
        <v>1488</v>
      </c>
      <c r="D28" s="1178"/>
      <c r="E28" s="1178"/>
      <c r="F28" s="1186">
        <v>0</v>
      </c>
      <c r="G28" s="1178"/>
    </row>
    <row r="29" spans="1:7" s="96" customFormat="1" ht="15" customHeight="1" thickBot="1" x14ac:dyDescent="0.25">
      <c r="A29" s="1139" t="s">
        <v>68</v>
      </c>
      <c r="B29" s="94"/>
      <c r="C29" s="1156" t="s">
        <v>1505</v>
      </c>
      <c r="D29" s="119">
        <v>0</v>
      </c>
      <c r="E29" s="119">
        <v>0</v>
      </c>
      <c r="F29" s="119">
        <v>0</v>
      </c>
      <c r="G29" s="119"/>
    </row>
    <row r="30" spans="1:7" s="96" customFormat="1" ht="15" customHeight="1" thickBot="1" x14ac:dyDescent="0.25">
      <c r="A30" s="1140"/>
      <c r="B30" s="1160" t="s">
        <v>133</v>
      </c>
      <c r="C30" s="1144" t="s">
        <v>1489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00"/>
      <c r="B31" s="1160" t="s">
        <v>983</v>
      </c>
      <c r="C31" s="1144" t="s">
        <v>1490</v>
      </c>
      <c r="D31" s="1181"/>
      <c r="E31" s="1181"/>
      <c r="F31" s="1174">
        <v>0</v>
      </c>
      <c r="G31" s="1181"/>
    </row>
    <row r="32" spans="1:7" s="96" customFormat="1" ht="15" customHeight="1" thickBot="1" x14ac:dyDescent="0.25">
      <c r="A32" s="1141"/>
      <c r="B32" s="1160" t="s">
        <v>149</v>
      </c>
      <c r="C32" s="1144" t="s">
        <v>1491</v>
      </c>
      <c r="D32" s="1181"/>
      <c r="E32" s="1181"/>
      <c r="F32" s="142">
        <v>0</v>
      </c>
      <c r="G32" s="1181"/>
    </row>
    <row r="33" spans="1:9" s="96" customFormat="1" ht="31.5" customHeight="1" thickBot="1" x14ac:dyDescent="0.25">
      <c r="A33" s="1139" t="s">
        <v>27</v>
      </c>
      <c r="B33" s="1161"/>
      <c r="C33" s="1156" t="s">
        <v>1506</v>
      </c>
      <c r="D33" s="148">
        <f>+D36+D37</f>
        <v>0</v>
      </c>
      <c r="E33" s="148">
        <f t="shared" ref="E33:F33" si="2">+E36+E37</f>
        <v>127</v>
      </c>
      <c r="F33" s="148">
        <f t="shared" si="2"/>
        <v>0</v>
      </c>
      <c r="G33" s="148"/>
    </row>
    <row r="34" spans="1:9" s="96" customFormat="1" ht="15" customHeight="1" thickBot="1" x14ac:dyDescent="0.25">
      <c r="A34" s="1177"/>
      <c r="B34" s="1162" t="s">
        <v>28</v>
      </c>
      <c r="C34" s="1151" t="s">
        <v>1492</v>
      </c>
      <c r="D34" s="1183"/>
      <c r="E34" s="1183"/>
      <c r="F34" s="1189">
        <v>0</v>
      </c>
      <c r="G34" s="1183"/>
    </row>
    <row r="35" spans="1:9" s="96" customFormat="1" ht="15" hidden="1" customHeight="1" thickBot="1" x14ac:dyDescent="0.25">
      <c r="A35" s="1182"/>
      <c r="B35" s="1184"/>
      <c r="C35" s="1151"/>
      <c r="D35" s="1183"/>
      <c r="E35" s="1183"/>
      <c r="F35" s="1183"/>
      <c r="G35" s="1183"/>
    </row>
    <row r="36" spans="1:9" s="96" customFormat="1" ht="15" customHeight="1" thickBot="1" x14ac:dyDescent="0.3">
      <c r="A36" s="116" t="s">
        <v>32</v>
      </c>
      <c r="B36" s="117"/>
      <c r="C36" s="1142" t="s">
        <v>1493</v>
      </c>
      <c r="D36" s="149">
        <v>0</v>
      </c>
      <c r="E36" s="149">
        <v>127</v>
      </c>
      <c r="F36" s="1190">
        <v>0</v>
      </c>
      <c r="G36" s="149"/>
    </row>
    <row r="37" spans="1:9" s="96" customFormat="1" ht="15" customHeight="1" thickBot="1" x14ac:dyDescent="0.25">
      <c r="A37" s="1180"/>
      <c r="B37" s="1164" t="s">
        <v>33</v>
      </c>
      <c r="C37" s="1144" t="s">
        <v>1494</v>
      </c>
      <c r="D37" s="146">
        <v>0</v>
      </c>
      <c r="E37" s="146">
        <v>0</v>
      </c>
      <c r="F37" s="1189">
        <v>0</v>
      </c>
      <c r="G37" s="146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9">
        <v>4766</v>
      </c>
      <c r="E38" s="119">
        <v>6405</v>
      </c>
      <c r="F38" s="119">
        <f>SUM(F39:F41)</f>
        <v>0</v>
      </c>
      <c r="G38" s="119"/>
      <c r="I38" s="110">
        <f>SUM(F61-F42)</f>
        <v>0</v>
      </c>
    </row>
    <row r="39" spans="1:9" s="99" customFormat="1" ht="15" customHeight="1" thickBot="1" x14ac:dyDescent="0.25">
      <c r="A39" s="1140"/>
      <c r="B39" s="1160" t="s">
        <v>36</v>
      </c>
      <c r="C39" s="1144" t="s">
        <v>1496</v>
      </c>
      <c r="D39" s="1178"/>
      <c r="E39" s="1178"/>
      <c r="F39" s="1174">
        <v>0</v>
      </c>
      <c r="G39" s="1178"/>
      <c r="I39" s="110"/>
    </row>
    <row r="40" spans="1:9" s="99" customFormat="1" ht="15" customHeight="1" thickBot="1" x14ac:dyDescent="0.25">
      <c r="A40" s="100"/>
      <c r="B40" s="1160" t="s">
        <v>37</v>
      </c>
      <c r="C40" s="1144" t="s">
        <v>1497</v>
      </c>
      <c r="D40" s="1178"/>
      <c r="E40" s="1178"/>
      <c r="F40" s="1174">
        <v>0</v>
      </c>
      <c r="G40" s="1178"/>
      <c r="I40" s="110"/>
    </row>
    <row r="41" spans="1:9" s="99" customFormat="1" ht="15" customHeight="1" thickBot="1" x14ac:dyDescent="0.25">
      <c r="A41" s="1141"/>
      <c r="B41" s="1160" t="s">
        <v>1499</v>
      </c>
      <c r="C41" s="1144" t="s">
        <v>1498</v>
      </c>
      <c r="D41" s="119"/>
      <c r="E41" s="119"/>
      <c r="F41" s="142">
        <v>0</v>
      </c>
      <c r="G41" s="119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SUM(D8,D19,D27,D29,D33,D38)</f>
        <v>58011</v>
      </c>
      <c r="E42" s="152">
        <f>SUM(E8,E19,E27,E29,E33,E38)</f>
        <v>61008</v>
      </c>
      <c r="F42" s="152">
        <f>SUM(F8,F19,F27,F29,F33,F36,F38)</f>
        <v>0</v>
      </c>
      <c r="G42" s="152">
        <f>F42/E42*100</f>
        <v>0</v>
      </c>
      <c r="I42" s="110"/>
    </row>
    <row r="43" spans="1:9" s="99" customFormat="1" ht="15" customHeight="1" thickBot="1" x14ac:dyDescent="0.25">
      <c r="A43" s="131"/>
      <c r="B43" s="132"/>
      <c r="C43" s="132"/>
      <c r="D43" s="390"/>
      <c r="E43" s="390"/>
      <c r="F43" s="390"/>
      <c r="G43" s="390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156" t="s">
        <v>49</v>
      </c>
      <c r="D45" s="141">
        <f>SUM(D46+D48+D50)</f>
        <v>58011</v>
      </c>
      <c r="E45" s="141">
        <f t="shared" ref="E45" si="3">SUM(E46+E48+E50)</f>
        <v>61008</v>
      </c>
      <c r="F45" s="141">
        <f>SUM(F46+F48+F50)</f>
        <v>0</v>
      </c>
      <c r="G45" s="141">
        <f>F45/E45*100</f>
        <v>0</v>
      </c>
    </row>
    <row r="46" spans="1:9" s="99" customFormat="1" ht="15" customHeight="1" x14ac:dyDescent="0.2">
      <c r="A46" s="113"/>
      <c r="B46" s="1165" t="s">
        <v>50</v>
      </c>
      <c r="C46" s="7" t="s">
        <v>51</v>
      </c>
      <c r="D46" s="147">
        <v>39072</v>
      </c>
      <c r="E46" s="147">
        <v>41332</v>
      </c>
      <c r="F46" s="147">
        <v>0</v>
      </c>
      <c r="G46" s="147"/>
    </row>
    <row r="47" spans="1:9" s="99" customFormat="1" ht="15" hidden="1" customHeight="1" x14ac:dyDescent="0.2">
      <c r="A47" s="113"/>
      <c r="B47" s="1165"/>
      <c r="C47" s="400" t="s">
        <v>535</v>
      </c>
      <c r="D47" s="405"/>
      <c r="E47" s="405"/>
      <c r="F47" s="405"/>
      <c r="G47" s="405"/>
    </row>
    <row r="48" spans="1:9" s="99" customFormat="1" ht="15" customHeight="1" x14ac:dyDescent="0.2">
      <c r="A48" s="97"/>
      <c r="B48" s="1166" t="s">
        <v>52</v>
      </c>
      <c r="C48" s="3" t="s">
        <v>53</v>
      </c>
      <c r="D48" s="142">
        <v>10526</v>
      </c>
      <c r="E48" s="142">
        <v>11133</v>
      </c>
      <c r="F48" s="142">
        <v>0</v>
      </c>
      <c r="G48" s="142"/>
    </row>
    <row r="49" spans="1:7" s="99" customFormat="1" ht="15" hidden="1" customHeight="1" x14ac:dyDescent="0.2">
      <c r="A49" s="97"/>
      <c r="B49" s="1166"/>
      <c r="C49" s="400" t="s">
        <v>535</v>
      </c>
      <c r="D49" s="405"/>
      <c r="E49" s="405"/>
      <c r="F49" s="405"/>
      <c r="G49" s="405"/>
    </row>
    <row r="50" spans="1:7" s="99" customFormat="1" ht="15" customHeight="1" x14ac:dyDescent="0.2">
      <c r="A50" s="97"/>
      <c r="B50" s="1166" t="s">
        <v>54</v>
      </c>
      <c r="C50" s="3" t="s">
        <v>55</v>
      </c>
      <c r="D50" s="142">
        <v>8413</v>
      </c>
      <c r="E50" s="142">
        <v>8543</v>
      </c>
      <c r="F50" s="142">
        <v>0</v>
      </c>
      <c r="G50" s="142"/>
    </row>
    <row r="51" spans="1:7" s="99" customFormat="1" ht="15" hidden="1" customHeight="1" x14ac:dyDescent="0.2">
      <c r="A51" s="97"/>
      <c r="B51" s="1166"/>
      <c r="C51" s="400" t="s">
        <v>535</v>
      </c>
      <c r="D51" s="405"/>
      <c r="E51" s="405"/>
      <c r="F51" s="405"/>
      <c r="G51" s="405"/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2" t="s">
        <v>3</v>
      </c>
      <c r="B54" s="2"/>
      <c r="C54" s="1156" t="s">
        <v>1504</v>
      </c>
      <c r="D54" s="141">
        <f>SUM(D55:D58)</f>
        <v>0</v>
      </c>
      <c r="E54" s="141">
        <f t="shared" ref="E54" si="4">SUM(E55:E58)</f>
        <v>0</v>
      </c>
      <c r="F54" s="141">
        <f>SUM(F55:F58)</f>
        <v>0</v>
      </c>
      <c r="G54" s="141" t="e">
        <f>F54/E54*100</f>
        <v>#DIV/0!</v>
      </c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0</v>
      </c>
      <c r="F55" s="147">
        <v>0</v>
      </c>
      <c r="G55" s="147"/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+D45+D54+D59</f>
        <v>58011</v>
      </c>
      <c r="E61" s="152">
        <f t="shared" ref="E61" si="5">+E45+E54+E59</f>
        <v>61008</v>
      </c>
      <c r="F61" s="152">
        <f>+F45+F54</f>
        <v>0</v>
      </c>
      <c r="G61" s="152">
        <f>F61/E61*100</f>
        <v>0</v>
      </c>
    </row>
    <row r="62" spans="1:7" s="99" customFormat="1" ht="15" customHeight="1" thickBot="1" x14ac:dyDescent="0.25">
      <c r="A62" s="403"/>
      <c r="B62" s="336"/>
      <c r="C62" s="355" t="s">
        <v>544</v>
      </c>
      <c r="D62" s="388">
        <f>SUM(D47+D49+D51)</f>
        <v>0</v>
      </c>
      <c r="E62" s="388">
        <f t="shared" ref="E62:F62" si="6">SUM(E47+E49+E51)</f>
        <v>0</v>
      </c>
      <c r="F62" s="388">
        <f t="shared" si="6"/>
        <v>0</v>
      </c>
      <c r="G62" s="388" t="e">
        <f>F62/E62*100</f>
        <v>#DIV/0!</v>
      </c>
    </row>
    <row r="63" spans="1:7" s="99" customFormat="1" ht="15" customHeight="1" thickBot="1" x14ac:dyDescent="0.25">
      <c r="A63" s="133" t="s">
        <v>136</v>
      </c>
      <c r="B63" s="134"/>
      <c r="C63" s="135"/>
      <c r="D63" s="356">
        <v>18</v>
      </c>
      <c r="E63" s="356">
        <v>18</v>
      </c>
      <c r="F63" s="136"/>
      <c r="G63" s="35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7559055118110237" top="0.31496062992125984" bottom="0.19685039370078741" header="0.51181102362204722" footer="0.15748031496062992"/>
  <pageSetup paperSize="9" scale="85" firstPageNumber="72" orientation="portrait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66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6.1640625" style="76" customWidth="1"/>
    <col min="4" max="4" width="13.5" style="76" hidden="1" customWidth="1"/>
    <col min="5" max="5" width="13.83203125" style="76" hidden="1" customWidth="1"/>
    <col min="6" max="6" width="18.6640625" style="76" customWidth="1"/>
    <col min="7" max="7" width="10.1640625" style="76" hidden="1" customWidth="1"/>
    <col min="8" max="8" width="10.1640625" style="76" customWidth="1"/>
    <col min="9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548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562</v>
      </c>
      <c r="D2" s="1523" t="s">
        <v>1024</v>
      </c>
      <c r="E2" s="343"/>
      <c r="F2" s="1523" t="s">
        <v>1420</v>
      </c>
      <c r="G2" s="343"/>
    </row>
    <row r="3" spans="1:7" s="410" customFormat="1" ht="29.25" customHeight="1" x14ac:dyDescent="0.2">
      <c r="A3" s="1554" t="s">
        <v>122</v>
      </c>
      <c r="B3" s="1554"/>
      <c r="C3" s="1167" t="s">
        <v>1510</v>
      </c>
      <c r="D3" s="1524"/>
      <c r="E3" s="327"/>
      <c r="F3" s="1524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5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93" t="s">
        <v>3</v>
      </c>
      <c r="B19" s="94"/>
      <c r="C19" s="1142" t="s">
        <v>1482</v>
      </c>
      <c r="D19" s="141">
        <f>SUM(D20:D26)-D21</f>
        <v>38855</v>
      </c>
      <c r="E19" s="141">
        <f t="shared" ref="E19:F19" si="1">SUM(E20:E26)-E21</f>
        <v>39688</v>
      </c>
      <c r="F19" s="141">
        <f t="shared" si="1"/>
        <v>0</v>
      </c>
      <c r="G19" s="141">
        <f>F19/E19*100</f>
        <v>0</v>
      </c>
    </row>
    <row r="20" spans="1:7" s="99" customFormat="1" ht="29.25" customHeight="1" x14ac:dyDescent="0.2">
      <c r="A20" s="97"/>
      <c r="B20" s="98" t="s">
        <v>4</v>
      </c>
      <c r="C20" s="1151" t="s">
        <v>1483</v>
      </c>
      <c r="D20" s="142">
        <v>38855</v>
      </c>
      <c r="E20" s="142">
        <v>39658</v>
      </c>
      <c r="F20" s="142"/>
      <c r="G20" s="142"/>
    </row>
    <row r="21" spans="1:7" s="99" customFormat="1" ht="15" hidden="1" customHeight="1" x14ac:dyDescent="0.2">
      <c r="A21" s="97"/>
      <c r="B21" s="1168"/>
      <c r="C21" s="1151"/>
      <c r="D21" s="142"/>
      <c r="E21" s="142"/>
      <c r="F21" s="142"/>
      <c r="G21" s="142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>
        <v>0</v>
      </c>
      <c r="E22" s="142">
        <v>0</v>
      </c>
      <c r="F22" s="142">
        <v>0</v>
      </c>
      <c r="G22" s="142"/>
    </row>
    <row r="23" spans="1:7" s="99" customFormat="1" ht="15" customHeight="1" x14ac:dyDescent="0.2">
      <c r="A23" s="1173"/>
      <c r="B23" s="1148" t="s">
        <v>255</v>
      </c>
      <c r="C23" s="1152" t="s">
        <v>1484</v>
      </c>
      <c r="D23" s="1174"/>
      <c r="E23" s="1174"/>
      <c r="F23" s="1174">
        <v>0</v>
      </c>
      <c r="G23" s="1174"/>
    </row>
    <row r="24" spans="1:7" s="99" customFormat="1" ht="15" customHeight="1" x14ac:dyDescent="0.2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x14ac:dyDescent="0.2">
      <c r="A25" s="1173"/>
      <c r="B25" s="1148" t="s">
        <v>6</v>
      </c>
      <c r="C25" s="1144" t="s">
        <v>1485</v>
      </c>
      <c r="D25" s="1174"/>
      <c r="E25" s="1174"/>
      <c r="F25" s="1174">
        <v>0</v>
      </c>
      <c r="G25" s="1174"/>
    </row>
    <row r="26" spans="1:7" s="99" customFormat="1" ht="15" customHeight="1" x14ac:dyDescent="0.2">
      <c r="A26" s="97"/>
      <c r="B26" s="98" t="s">
        <v>7</v>
      </c>
      <c r="C26" s="1144" t="s">
        <v>1486</v>
      </c>
      <c r="D26" s="142">
        <v>0</v>
      </c>
      <c r="E26" s="142">
        <v>30</v>
      </c>
      <c r="F26" s="142">
        <v>0</v>
      </c>
      <c r="G26" s="142"/>
    </row>
    <row r="27" spans="1:7" s="99" customFormat="1" ht="15" customHeight="1" x14ac:dyDescent="0.2">
      <c r="A27" s="93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9" customFormat="1" ht="15" customHeight="1" thickBot="1" x14ac:dyDescent="0.25">
      <c r="A28" s="1177"/>
      <c r="B28" s="1148" t="s">
        <v>13</v>
      </c>
      <c r="C28" s="1144" t="s">
        <v>1488</v>
      </c>
      <c r="D28" s="1178"/>
      <c r="E28" s="1178"/>
      <c r="F28" s="1186">
        <v>0</v>
      </c>
      <c r="G28" s="1178"/>
    </row>
    <row r="29" spans="1:7" s="96" customFormat="1" ht="15" customHeight="1" thickBot="1" x14ac:dyDescent="0.25">
      <c r="A29" s="93" t="s">
        <v>68</v>
      </c>
      <c r="B29" s="94"/>
      <c r="C29" s="1156" t="s">
        <v>1505</v>
      </c>
      <c r="D29" s="119">
        <v>0</v>
      </c>
      <c r="E29" s="119">
        <v>0</v>
      </c>
      <c r="F29" s="119">
        <v>0</v>
      </c>
      <c r="G29" s="119"/>
    </row>
    <row r="30" spans="1:7" s="96" customFormat="1" ht="15" customHeight="1" thickBot="1" x14ac:dyDescent="0.25">
      <c r="A30" s="97"/>
      <c r="B30" s="1160" t="s">
        <v>133</v>
      </c>
      <c r="C30" s="1144" t="s">
        <v>1489</v>
      </c>
      <c r="D30" s="1181"/>
      <c r="E30" s="1181"/>
      <c r="F30" s="142">
        <v>0</v>
      </c>
      <c r="G30" s="1181"/>
    </row>
    <row r="31" spans="1:7" s="96" customFormat="1" ht="15" customHeight="1" thickBot="1" x14ac:dyDescent="0.25">
      <c r="A31" s="1173"/>
      <c r="B31" s="1160" t="s">
        <v>983</v>
      </c>
      <c r="C31" s="1144" t="s">
        <v>1490</v>
      </c>
      <c r="D31" s="1181"/>
      <c r="E31" s="1181"/>
      <c r="F31" s="1174">
        <v>0</v>
      </c>
      <c r="G31" s="1181"/>
    </row>
    <row r="32" spans="1:7" s="96" customFormat="1" ht="15" customHeight="1" thickBot="1" x14ac:dyDescent="0.25">
      <c r="A32" s="97"/>
      <c r="B32" s="1160" t="s">
        <v>149</v>
      </c>
      <c r="C32" s="1144" t="s">
        <v>1491</v>
      </c>
      <c r="D32" s="1181"/>
      <c r="E32" s="1181"/>
      <c r="F32" s="142">
        <v>0</v>
      </c>
      <c r="G32" s="1181"/>
    </row>
    <row r="33" spans="1:9" s="96" customFormat="1" ht="30" customHeight="1" thickBot="1" x14ac:dyDescent="0.25">
      <c r="A33" s="1139" t="s">
        <v>27</v>
      </c>
      <c r="B33" s="1161"/>
      <c r="C33" s="1156" t="s">
        <v>1506</v>
      </c>
      <c r="D33" s="148">
        <v>0</v>
      </c>
      <c r="E33" s="148">
        <f>SUM(E34:E35)</f>
        <v>79</v>
      </c>
      <c r="F33" s="148">
        <f>SUM(F34:F35)</f>
        <v>0</v>
      </c>
      <c r="G33" s="148"/>
    </row>
    <row r="34" spans="1:9" s="96" customFormat="1" ht="30" customHeight="1" thickBot="1" x14ac:dyDescent="0.25">
      <c r="A34" s="1140"/>
      <c r="B34" s="1162" t="s">
        <v>28</v>
      </c>
      <c r="C34" s="1151" t="s">
        <v>1492</v>
      </c>
      <c r="D34" s="149">
        <v>0</v>
      </c>
      <c r="E34" s="149">
        <v>79</v>
      </c>
      <c r="F34" s="149">
        <v>0</v>
      </c>
      <c r="G34" s="149"/>
    </row>
    <row r="35" spans="1:9" s="96" customFormat="1" ht="15" hidden="1" customHeight="1" x14ac:dyDescent="0.2">
      <c r="A35" s="111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9" s="99" customFormat="1" ht="15" customHeight="1" thickBot="1" x14ac:dyDescent="0.3">
      <c r="A36" s="116" t="s">
        <v>32</v>
      </c>
      <c r="B36" s="117"/>
      <c r="C36" s="1142" t="s">
        <v>1493</v>
      </c>
      <c r="D36" s="119">
        <v>5709</v>
      </c>
      <c r="E36" s="119">
        <v>9738</v>
      </c>
      <c r="F36" s="119">
        <v>0</v>
      </c>
      <c r="G36" s="119"/>
      <c r="I36" s="110">
        <f>SUM(F63-F44)</f>
        <v>0</v>
      </c>
    </row>
    <row r="37" spans="1:9" s="99" customFormat="1" ht="15" customHeight="1" thickBot="1" x14ac:dyDescent="0.25">
      <c r="A37" s="1180"/>
      <c r="B37" s="1164" t="s">
        <v>33</v>
      </c>
      <c r="C37" s="1144" t="s">
        <v>1494</v>
      </c>
      <c r="D37" s="1178"/>
      <c r="E37" s="1178"/>
      <c r="F37" s="1186">
        <v>0</v>
      </c>
      <c r="G37" s="1178"/>
      <c r="I37" s="110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78"/>
      <c r="E38" s="1178"/>
      <c r="F38" s="1178">
        <f>SUM(F39:F41)</f>
        <v>54850</v>
      </c>
      <c r="G38" s="1178"/>
      <c r="I38" s="110"/>
    </row>
    <row r="39" spans="1:9" s="99" customFormat="1" ht="15" customHeight="1" thickBot="1" x14ac:dyDescent="0.25">
      <c r="A39" s="1140"/>
      <c r="B39" s="1160" t="s">
        <v>36</v>
      </c>
      <c r="C39" s="1144" t="s">
        <v>1496</v>
      </c>
      <c r="D39" s="1178"/>
      <c r="E39" s="1178"/>
      <c r="F39" s="142">
        <v>0</v>
      </c>
      <c r="G39" s="1178"/>
      <c r="I39" s="110"/>
    </row>
    <row r="40" spans="1:9" s="99" customFormat="1" ht="15" customHeight="1" thickBot="1" x14ac:dyDescent="0.25">
      <c r="A40" s="100"/>
      <c r="B40" s="1160" t="s">
        <v>37</v>
      </c>
      <c r="C40" s="1144" t="s">
        <v>1497</v>
      </c>
      <c r="D40" s="1178"/>
      <c r="E40" s="1178"/>
      <c r="F40" s="1174">
        <v>0</v>
      </c>
      <c r="G40" s="1178"/>
      <c r="I40" s="110"/>
    </row>
    <row r="41" spans="1:9" s="99" customFormat="1" ht="15" customHeight="1" thickBot="1" x14ac:dyDescent="0.25">
      <c r="A41" s="1141"/>
      <c r="B41" s="1160" t="s">
        <v>1499</v>
      </c>
      <c r="C41" s="1144" t="s">
        <v>1498</v>
      </c>
      <c r="D41" s="119"/>
      <c r="E41" s="119"/>
      <c r="F41" s="142">
        <f>SUM(F42:F43)</f>
        <v>54850</v>
      </c>
      <c r="G41" s="119"/>
    </row>
    <row r="42" spans="1:9" s="99" customFormat="1" ht="15" customHeight="1" thickBot="1" x14ac:dyDescent="0.25">
      <c r="A42" s="1408"/>
      <c r="B42" s="1413" t="s">
        <v>1777</v>
      </c>
      <c r="C42" s="1414" t="s">
        <v>1775</v>
      </c>
      <c r="D42" s="1224"/>
      <c r="E42" s="1224"/>
      <c r="F42" s="1416">
        <v>52515</v>
      </c>
      <c r="G42" s="1224"/>
    </row>
    <row r="43" spans="1:9" s="99" customFormat="1" ht="15" customHeight="1" thickBot="1" x14ac:dyDescent="0.25">
      <c r="A43" s="1408"/>
      <c r="B43" s="1417" t="s">
        <v>1778</v>
      </c>
      <c r="C43" s="1418" t="s">
        <v>1776</v>
      </c>
      <c r="D43" s="1224"/>
      <c r="E43" s="1224"/>
      <c r="F43" s="1416">
        <v>2335</v>
      </c>
      <c r="G43" s="1224"/>
    </row>
    <row r="44" spans="1:9" s="99" customFormat="1" ht="15" customHeight="1" thickBot="1" x14ac:dyDescent="0.25">
      <c r="A44" s="150" t="s">
        <v>38</v>
      </c>
      <c r="B44" s="151"/>
      <c r="C44" s="354" t="s">
        <v>510</v>
      </c>
      <c r="D44" s="152">
        <f>SUM(D8,D19,D27,D29,D33,D36)</f>
        <v>44564</v>
      </c>
      <c r="E44" s="152">
        <f>SUM(E8,E19,E27,E29,E33,E36)</f>
        <v>49505</v>
      </c>
      <c r="F44" s="152">
        <f>SUM(F8,F19,F27,F29,F33,F36,F38)</f>
        <v>54850</v>
      </c>
      <c r="G44" s="152">
        <f>F44/E44*100</f>
        <v>110.79688920311079</v>
      </c>
      <c r="I44" s="110"/>
    </row>
    <row r="45" spans="1:9" s="99" customFormat="1" ht="9.75" customHeight="1" thickBot="1" x14ac:dyDescent="0.25">
      <c r="A45" s="131"/>
      <c r="B45" s="132"/>
      <c r="C45" s="132"/>
      <c r="D45" s="390"/>
      <c r="E45" s="390"/>
      <c r="F45" s="390"/>
      <c r="G45" s="390"/>
    </row>
    <row r="46" spans="1:9" s="411" customFormat="1" ht="15" customHeight="1" x14ac:dyDescent="0.2">
      <c r="A46" s="150"/>
      <c r="B46" s="151"/>
      <c r="C46" s="387" t="s">
        <v>82</v>
      </c>
      <c r="D46" s="152"/>
      <c r="E46" s="152"/>
      <c r="F46" s="152"/>
      <c r="G46" s="152"/>
    </row>
    <row r="47" spans="1:9" s="96" customFormat="1" ht="15" customHeight="1" x14ac:dyDescent="0.2">
      <c r="A47" s="93" t="s">
        <v>2</v>
      </c>
      <c r="B47" s="2"/>
      <c r="C47" s="2" t="s">
        <v>49</v>
      </c>
      <c r="D47" s="141">
        <f>SUM(D48+D50+D52)</f>
        <v>44564</v>
      </c>
      <c r="E47" s="141">
        <f t="shared" ref="E47" si="2">SUM(E48+E50+E52)</f>
        <v>47545</v>
      </c>
      <c r="F47" s="141">
        <f>SUM(F48+F50+F52)</f>
        <v>54596</v>
      </c>
      <c r="G47" s="141">
        <f>F47/E47*100</f>
        <v>114.83016090019981</v>
      </c>
    </row>
    <row r="48" spans="1:9" s="99" customFormat="1" ht="15" customHeight="1" x14ac:dyDescent="0.2">
      <c r="A48" s="113"/>
      <c r="B48" s="124" t="s">
        <v>50</v>
      </c>
      <c r="C48" s="7" t="s">
        <v>51</v>
      </c>
      <c r="D48" s="147">
        <v>29501</v>
      </c>
      <c r="E48" s="147">
        <v>31136</v>
      </c>
      <c r="F48" s="147">
        <v>37815</v>
      </c>
      <c r="G48" s="147"/>
    </row>
    <row r="49" spans="1:7" s="99" customFormat="1" ht="15" hidden="1" customHeight="1" x14ac:dyDescent="0.2">
      <c r="A49" s="113"/>
      <c r="B49" s="124"/>
      <c r="C49" s="400" t="s">
        <v>535</v>
      </c>
      <c r="D49" s="405"/>
      <c r="E49" s="405"/>
      <c r="F49" s="405"/>
      <c r="G49" s="405"/>
    </row>
    <row r="50" spans="1:7" s="99" customFormat="1" ht="15" customHeight="1" x14ac:dyDescent="0.2">
      <c r="A50" s="97"/>
      <c r="B50" s="109" t="s">
        <v>52</v>
      </c>
      <c r="C50" s="3" t="s">
        <v>53</v>
      </c>
      <c r="D50" s="142">
        <v>7928</v>
      </c>
      <c r="E50" s="142">
        <v>8370</v>
      </c>
      <c r="F50" s="142">
        <v>10429</v>
      </c>
      <c r="G50" s="142"/>
    </row>
    <row r="51" spans="1:7" s="99" customFormat="1" ht="15" hidden="1" customHeight="1" x14ac:dyDescent="0.2">
      <c r="A51" s="97"/>
      <c r="B51" s="109"/>
      <c r="C51" s="400" t="s">
        <v>535</v>
      </c>
      <c r="D51" s="405"/>
      <c r="E51" s="405"/>
      <c r="F51" s="405"/>
      <c r="G51" s="405"/>
    </row>
    <row r="52" spans="1:7" s="99" customFormat="1" ht="15" customHeight="1" x14ac:dyDescent="0.2">
      <c r="A52" s="97"/>
      <c r="B52" s="109" t="s">
        <v>54</v>
      </c>
      <c r="C52" s="3" t="s">
        <v>55</v>
      </c>
      <c r="D52" s="142">
        <v>7135</v>
      </c>
      <c r="E52" s="142">
        <v>8039</v>
      </c>
      <c r="F52" s="142">
        <v>6352</v>
      </c>
      <c r="G52" s="142"/>
    </row>
    <row r="53" spans="1:7" s="99" customFormat="1" ht="15" hidden="1" customHeight="1" x14ac:dyDescent="0.2">
      <c r="A53" s="97"/>
      <c r="B53" s="109"/>
      <c r="C53" s="400" t="s">
        <v>535</v>
      </c>
      <c r="D53" s="405"/>
      <c r="E53" s="405"/>
      <c r="F53" s="405"/>
      <c r="G53" s="405"/>
    </row>
    <row r="54" spans="1:7" s="99" customFormat="1" ht="15" customHeight="1" x14ac:dyDescent="0.2">
      <c r="A54" s="97"/>
      <c r="B54" s="109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09" t="s">
        <v>58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x14ac:dyDescent="0.2">
      <c r="A56" s="93" t="s">
        <v>3</v>
      </c>
      <c r="B56" s="2"/>
      <c r="C56" s="2" t="s">
        <v>1513</v>
      </c>
      <c r="D56" s="141">
        <f>SUM(D57:D60)</f>
        <v>0</v>
      </c>
      <c r="E56" s="141">
        <f t="shared" ref="E56:F56" si="3">SUM(E57:E60)</f>
        <v>1960</v>
      </c>
      <c r="F56" s="141">
        <f t="shared" si="3"/>
        <v>254</v>
      </c>
      <c r="G56" s="141"/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1960</v>
      </c>
      <c r="F57" s="147">
        <v>254</v>
      </c>
      <c r="G57" s="147"/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x14ac:dyDescent="0.2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x14ac:dyDescent="0.2">
      <c r="A61" s="93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x14ac:dyDescent="0.2">
      <c r="A62" s="93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+D47+D56+D61</f>
        <v>44564</v>
      </c>
      <c r="E63" s="152">
        <f t="shared" ref="E63" si="4">+E47+E56+E61</f>
        <v>49505</v>
      </c>
      <c r="F63" s="152">
        <f>+F47+F56+F61+F62</f>
        <v>54850</v>
      </c>
      <c r="G63" s="152">
        <f>F63/E63*100</f>
        <v>110.79688920311079</v>
      </c>
    </row>
    <row r="64" spans="1:7" s="99" customFormat="1" ht="15" customHeight="1" thickBot="1" x14ac:dyDescent="0.25">
      <c r="A64" s="403"/>
      <c r="B64" s="336"/>
      <c r="C64" s="355" t="s">
        <v>544</v>
      </c>
      <c r="D64" s="388">
        <f>SUM(D49+D51+D53)</f>
        <v>0</v>
      </c>
      <c r="E64" s="388">
        <f t="shared" ref="E64:F64" si="5">SUM(E49+E51+E53)</f>
        <v>0</v>
      </c>
      <c r="F64" s="388">
        <f t="shared" si="5"/>
        <v>0</v>
      </c>
      <c r="G64" s="388" t="e">
        <f>F64/E64*100</f>
        <v>#DIV/0!</v>
      </c>
    </row>
    <row r="65" spans="1:7" s="99" customFormat="1" ht="15" customHeight="1" x14ac:dyDescent="0.2">
      <c r="A65" s="133" t="s">
        <v>136</v>
      </c>
      <c r="B65" s="134"/>
      <c r="C65" s="135"/>
      <c r="D65" s="356">
        <v>15</v>
      </c>
      <c r="E65" s="356">
        <v>15</v>
      </c>
      <c r="F65" s="136">
        <v>16.25</v>
      </c>
      <c r="G65" s="356"/>
    </row>
    <row r="66" spans="1:7" s="99" customFormat="1" ht="15" customHeight="1" x14ac:dyDescent="0.2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19685039370078741" right="0.39370078740157483" top="0.23622047244094491" bottom="0.39370078740157483" header="0.51181102362204722" footer="0.15748031496062992"/>
  <pageSetup paperSize="9" scale="82" firstPageNumber="73" orientation="portrait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66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6.1640625" style="76" customWidth="1"/>
    <col min="4" max="4" width="13.5" style="76" hidden="1" customWidth="1"/>
    <col min="5" max="5" width="13.83203125" style="76" hidden="1" customWidth="1"/>
    <col min="6" max="6" width="18.6640625" style="76" customWidth="1"/>
    <col min="7" max="7" width="10.1640625" style="76" hidden="1" customWidth="1"/>
    <col min="8" max="8" width="10.164062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1800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562</v>
      </c>
      <c r="D2" s="1523" t="s">
        <v>1024</v>
      </c>
      <c r="E2" s="343"/>
      <c r="F2" s="1523" t="s">
        <v>1420</v>
      </c>
      <c r="G2" s="343"/>
    </row>
    <row r="3" spans="1:7" s="410" customFormat="1" ht="29.25" customHeight="1" thickBot="1" x14ac:dyDescent="0.25">
      <c r="A3" s="1554" t="s">
        <v>122</v>
      </c>
      <c r="B3" s="1554"/>
      <c r="C3" s="1167" t="s">
        <v>1512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5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.75" customHeight="1" thickBot="1" x14ac:dyDescent="0.25">
      <c r="A19" s="1132" t="s">
        <v>3</v>
      </c>
      <c r="B19" s="94"/>
      <c r="C19" s="1142" t="s">
        <v>1482</v>
      </c>
      <c r="D19" s="141">
        <f>SUM(D20:D26)-D21</f>
        <v>38855</v>
      </c>
      <c r="E19" s="141">
        <f t="shared" ref="E19:F19" si="1">SUM(E20:E26)-E21</f>
        <v>39688</v>
      </c>
      <c r="F19" s="141">
        <f t="shared" si="1"/>
        <v>0</v>
      </c>
      <c r="G19" s="141">
        <f>F19/E19*100</f>
        <v>0</v>
      </c>
    </row>
    <row r="20" spans="1:7" s="99" customFormat="1" ht="30.75" customHeight="1" x14ac:dyDescent="0.2">
      <c r="A20" s="97"/>
      <c r="B20" s="98" t="s">
        <v>4</v>
      </c>
      <c r="C20" s="1151" t="s">
        <v>1483</v>
      </c>
      <c r="D20" s="142">
        <v>38855</v>
      </c>
      <c r="E20" s="142">
        <v>39658</v>
      </c>
      <c r="F20" s="142"/>
      <c r="G20" s="142"/>
    </row>
    <row r="21" spans="1:7" s="99" customFormat="1" ht="15" hidden="1" customHeight="1" x14ac:dyDescent="0.2">
      <c r="A21" s="97"/>
      <c r="B21" s="1168"/>
      <c r="C21" s="1151"/>
      <c r="D21" s="142"/>
      <c r="E21" s="142"/>
      <c r="F21" s="142"/>
      <c r="G21" s="142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>
        <v>0</v>
      </c>
      <c r="E22" s="142">
        <v>0</v>
      </c>
      <c r="F22" s="142">
        <v>0</v>
      </c>
      <c r="G22" s="142"/>
    </row>
    <row r="23" spans="1:7" s="99" customFormat="1" ht="15" customHeight="1" x14ac:dyDescent="0.2">
      <c r="A23" s="1173"/>
      <c r="B23" s="1148" t="s">
        <v>255</v>
      </c>
      <c r="C23" s="1152" t="s">
        <v>1484</v>
      </c>
      <c r="D23" s="1174"/>
      <c r="E23" s="1174"/>
      <c r="F23" s="1174">
        <v>0</v>
      </c>
      <c r="G23" s="1174"/>
    </row>
    <row r="24" spans="1:7" s="99" customFormat="1" ht="15" customHeight="1" x14ac:dyDescent="0.2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x14ac:dyDescent="0.2">
      <c r="A25" s="1173"/>
      <c r="B25" s="1148" t="s">
        <v>6</v>
      </c>
      <c r="C25" s="1144" t="s">
        <v>1485</v>
      </c>
      <c r="D25" s="1174"/>
      <c r="E25" s="1174"/>
      <c r="F25" s="1174">
        <v>0</v>
      </c>
      <c r="G25" s="1174"/>
    </row>
    <row r="26" spans="1:7" s="99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30</v>
      </c>
      <c r="F26" s="142">
        <v>0</v>
      </c>
      <c r="G26" s="142"/>
    </row>
    <row r="27" spans="1:7" s="99" customFormat="1" ht="15" customHeight="1" thickBot="1" x14ac:dyDescent="0.25">
      <c r="A27" s="1132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9" customFormat="1" ht="15" customHeight="1" thickBot="1" x14ac:dyDescent="0.25">
      <c r="A28" s="1177"/>
      <c r="B28" s="1148" t="s">
        <v>13</v>
      </c>
      <c r="C28" s="1144" t="s">
        <v>1488</v>
      </c>
      <c r="D28" s="1178"/>
      <c r="E28" s="1178"/>
      <c r="F28" s="1186">
        <v>0</v>
      </c>
      <c r="G28" s="1178"/>
    </row>
    <row r="29" spans="1:7" s="96" customFormat="1" ht="15" customHeight="1" thickBot="1" x14ac:dyDescent="0.25">
      <c r="A29" s="1139" t="s">
        <v>68</v>
      </c>
      <c r="B29" s="94"/>
      <c r="C29" s="1156" t="s">
        <v>1505</v>
      </c>
      <c r="D29" s="119">
        <v>0</v>
      </c>
      <c r="E29" s="119">
        <v>0</v>
      </c>
      <c r="F29" s="119">
        <v>0</v>
      </c>
      <c r="G29" s="119"/>
    </row>
    <row r="30" spans="1:7" s="96" customFormat="1" ht="15" customHeight="1" thickBot="1" x14ac:dyDescent="0.25">
      <c r="A30" s="1140"/>
      <c r="B30" s="1160" t="s">
        <v>133</v>
      </c>
      <c r="C30" s="1144" t="s">
        <v>1489</v>
      </c>
      <c r="D30" s="1181"/>
      <c r="E30" s="1181"/>
      <c r="F30" s="142">
        <v>0</v>
      </c>
      <c r="G30" s="1181"/>
    </row>
    <row r="31" spans="1:7" s="96" customFormat="1" ht="15" customHeight="1" thickBot="1" x14ac:dyDescent="0.25">
      <c r="A31" s="100"/>
      <c r="B31" s="1160" t="s">
        <v>983</v>
      </c>
      <c r="C31" s="1144" t="s">
        <v>1490</v>
      </c>
      <c r="D31" s="1181"/>
      <c r="E31" s="1181"/>
      <c r="F31" s="1174">
        <v>0</v>
      </c>
      <c r="G31" s="1181"/>
    </row>
    <row r="32" spans="1:7" s="96" customFormat="1" ht="15" customHeight="1" thickBot="1" x14ac:dyDescent="0.25">
      <c r="A32" s="1141"/>
      <c r="B32" s="1160" t="s">
        <v>149</v>
      </c>
      <c r="C32" s="1144" t="s">
        <v>1491</v>
      </c>
      <c r="D32" s="1181"/>
      <c r="E32" s="1181"/>
      <c r="F32" s="142">
        <v>0</v>
      </c>
      <c r="G32" s="1181"/>
    </row>
    <row r="33" spans="1:9" s="96" customFormat="1" ht="29.25" customHeight="1" thickBot="1" x14ac:dyDescent="0.25">
      <c r="A33" s="1139" t="s">
        <v>27</v>
      </c>
      <c r="B33" s="1161"/>
      <c r="C33" s="1156" t="s">
        <v>1506</v>
      </c>
      <c r="D33" s="148">
        <v>0</v>
      </c>
      <c r="E33" s="148">
        <f>SUM(E34:E35)</f>
        <v>79</v>
      </c>
      <c r="F33" s="148">
        <f>SUM(F34:F35)</f>
        <v>0</v>
      </c>
      <c r="G33" s="148"/>
    </row>
    <row r="34" spans="1:9" s="96" customFormat="1" ht="29.25" customHeight="1" thickBot="1" x14ac:dyDescent="0.25">
      <c r="A34" s="1140"/>
      <c r="B34" s="1162" t="s">
        <v>28</v>
      </c>
      <c r="C34" s="1151" t="s">
        <v>1492</v>
      </c>
      <c r="D34" s="149">
        <v>0</v>
      </c>
      <c r="E34" s="149">
        <v>79</v>
      </c>
      <c r="F34" s="149">
        <v>0</v>
      </c>
      <c r="G34" s="149"/>
    </row>
    <row r="35" spans="1:9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9" s="99" customFormat="1" ht="15" customHeight="1" thickBot="1" x14ac:dyDescent="0.3">
      <c r="A36" s="116" t="s">
        <v>32</v>
      </c>
      <c r="B36" s="117"/>
      <c r="C36" s="1142" t="s">
        <v>1493</v>
      </c>
      <c r="D36" s="119">
        <v>5709</v>
      </c>
      <c r="E36" s="119">
        <v>9738</v>
      </c>
      <c r="F36" s="119">
        <v>0</v>
      </c>
      <c r="G36" s="119"/>
      <c r="I36" s="110">
        <f>SUM(F63-F44)</f>
        <v>0</v>
      </c>
    </row>
    <row r="37" spans="1:9" s="99" customFormat="1" ht="15" customHeight="1" thickBot="1" x14ac:dyDescent="0.25">
      <c r="A37" s="1180"/>
      <c r="B37" s="1164" t="s">
        <v>33</v>
      </c>
      <c r="C37" s="1144" t="s">
        <v>1494</v>
      </c>
      <c r="D37" s="119"/>
      <c r="E37" s="119"/>
      <c r="F37" s="1188">
        <v>0</v>
      </c>
      <c r="G37" s="119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78"/>
      <c r="E38" s="1178"/>
      <c r="F38" s="1178">
        <f>SUM(F39:F41)</f>
        <v>54850</v>
      </c>
      <c r="G38" s="1178"/>
    </row>
    <row r="39" spans="1:9" s="99" customFormat="1" ht="15" customHeight="1" thickBot="1" x14ac:dyDescent="0.25">
      <c r="A39" s="1140"/>
      <c r="B39" s="1160" t="s">
        <v>36</v>
      </c>
      <c r="C39" s="1144" t="s">
        <v>1496</v>
      </c>
      <c r="D39" s="1178"/>
      <c r="E39" s="1178"/>
      <c r="F39" s="142">
        <v>0</v>
      </c>
      <c r="G39" s="1178"/>
    </row>
    <row r="40" spans="1:9" s="99" customFormat="1" ht="15" customHeight="1" thickBot="1" x14ac:dyDescent="0.25">
      <c r="A40" s="100"/>
      <c r="B40" s="1160" t="s">
        <v>37</v>
      </c>
      <c r="C40" s="1144" t="s">
        <v>1497</v>
      </c>
      <c r="D40" s="1178"/>
      <c r="E40" s="1178"/>
      <c r="F40" s="1174">
        <v>0</v>
      </c>
      <c r="G40" s="1178"/>
    </row>
    <row r="41" spans="1:9" s="99" customFormat="1" ht="15" customHeight="1" thickBot="1" x14ac:dyDescent="0.25">
      <c r="A41" s="1141"/>
      <c r="B41" s="1160" t="s">
        <v>1499</v>
      </c>
      <c r="C41" s="1144" t="s">
        <v>1498</v>
      </c>
      <c r="D41" s="1178"/>
      <c r="E41" s="1178"/>
      <c r="F41" s="142">
        <f>SUM(F42:F43)</f>
        <v>54850</v>
      </c>
      <c r="G41" s="1178"/>
    </row>
    <row r="42" spans="1:9" s="99" customFormat="1" ht="15" customHeight="1" thickBot="1" x14ac:dyDescent="0.25">
      <c r="A42" s="1408"/>
      <c r="B42" s="1413" t="s">
        <v>1777</v>
      </c>
      <c r="C42" s="1414" t="s">
        <v>1775</v>
      </c>
      <c r="D42" s="1224"/>
      <c r="E42" s="1224"/>
      <c r="F42" s="1416">
        <v>52515</v>
      </c>
      <c r="G42" s="1224"/>
    </row>
    <row r="43" spans="1:9" s="99" customFormat="1" ht="15" customHeight="1" thickBot="1" x14ac:dyDescent="0.25">
      <c r="A43" s="1408"/>
      <c r="B43" s="1417" t="s">
        <v>1778</v>
      </c>
      <c r="C43" s="1418" t="s">
        <v>1776</v>
      </c>
      <c r="D43" s="1224"/>
      <c r="E43" s="1224"/>
      <c r="F43" s="1416">
        <v>2335</v>
      </c>
      <c r="G43" s="1224"/>
    </row>
    <row r="44" spans="1:9" s="99" customFormat="1" ht="15" customHeight="1" thickBot="1" x14ac:dyDescent="0.25">
      <c r="A44" s="150" t="s">
        <v>38</v>
      </c>
      <c r="B44" s="151"/>
      <c r="C44" s="354" t="s">
        <v>510</v>
      </c>
      <c r="D44" s="152">
        <f>SUM(D8,D19,D27,D29,D33,D36)</f>
        <v>44564</v>
      </c>
      <c r="E44" s="152">
        <f>SUM(E8,E19,E27,E29,E33,E36)</f>
        <v>49505</v>
      </c>
      <c r="F44" s="152">
        <f>SUM(F8,F19,F27,F29,F33,F36,F38)</f>
        <v>54850</v>
      </c>
      <c r="G44" s="152">
        <f>F44/E44*100</f>
        <v>110.79688920311079</v>
      </c>
      <c r="I44" s="110"/>
    </row>
    <row r="45" spans="1:9" s="99" customFormat="1" ht="9.75" customHeight="1" thickBot="1" x14ac:dyDescent="0.25">
      <c r="A45" s="131"/>
      <c r="B45" s="132"/>
      <c r="C45" s="132"/>
      <c r="D45" s="390"/>
      <c r="E45" s="390"/>
      <c r="F45" s="390"/>
      <c r="G45" s="390"/>
    </row>
    <row r="46" spans="1:9" s="411" customFormat="1" ht="15" customHeight="1" thickBot="1" x14ac:dyDescent="0.25">
      <c r="A46" s="150"/>
      <c r="B46" s="151"/>
      <c r="C46" s="387" t="s">
        <v>82</v>
      </c>
      <c r="D46" s="152"/>
      <c r="E46" s="152"/>
      <c r="F46" s="152"/>
      <c r="G46" s="152"/>
    </row>
    <row r="47" spans="1:9" s="96" customFormat="1" ht="15" customHeight="1" thickBot="1" x14ac:dyDescent="0.25">
      <c r="A47" s="1132" t="s">
        <v>2</v>
      </c>
      <c r="B47" s="2"/>
      <c r="C47" s="1156" t="s">
        <v>49</v>
      </c>
      <c r="D47" s="141">
        <f>SUM(D48+D50+D52)</f>
        <v>44564</v>
      </c>
      <c r="E47" s="141">
        <f t="shared" ref="E47" si="2">SUM(E48+E50+E52)</f>
        <v>47545</v>
      </c>
      <c r="F47" s="141">
        <f>SUM(F48+F50+F52)</f>
        <v>54596</v>
      </c>
      <c r="G47" s="141">
        <f>F47/E47*100</f>
        <v>114.83016090019981</v>
      </c>
    </row>
    <row r="48" spans="1:9" s="99" customFormat="1" ht="15" customHeight="1" x14ac:dyDescent="0.2">
      <c r="A48" s="113"/>
      <c r="B48" s="124" t="s">
        <v>50</v>
      </c>
      <c r="C48" s="7" t="s">
        <v>51</v>
      </c>
      <c r="D48" s="147">
        <v>29501</v>
      </c>
      <c r="E48" s="147">
        <v>31136</v>
      </c>
      <c r="F48" s="147">
        <v>37815</v>
      </c>
      <c r="G48" s="147"/>
    </row>
    <row r="49" spans="1:7" s="99" customFormat="1" ht="15" hidden="1" customHeight="1" x14ac:dyDescent="0.2">
      <c r="A49" s="113"/>
      <c r="B49" s="124"/>
      <c r="C49" s="400" t="s">
        <v>535</v>
      </c>
      <c r="D49" s="405"/>
      <c r="E49" s="405"/>
      <c r="F49" s="405"/>
      <c r="G49" s="405"/>
    </row>
    <row r="50" spans="1:7" s="99" customFormat="1" ht="15" customHeight="1" x14ac:dyDescent="0.2">
      <c r="A50" s="97"/>
      <c r="B50" s="109" t="s">
        <v>52</v>
      </c>
      <c r="C50" s="3" t="s">
        <v>53</v>
      </c>
      <c r="D50" s="142">
        <v>7928</v>
      </c>
      <c r="E50" s="142">
        <v>8370</v>
      </c>
      <c r="F50" s="142">
        <v>10429</v>
      </c>
      <c r="G50" s="142"/>
    </row>
    <row r="51" spans="1:7" s="99" customFormat="1" ht="15" hidden="1" customHeight="1" x14ac:dyDescent="0.2">
      <c r="A51" s="97"/>
      <c r="B51" s="109"/>
      <c r="C51" s="400" t="s">
        <v>535</v>
      </c>
      <c r="D51" s="405"/>
      <c r="E51" s="405"/>
      <c r="F51" s="405"/>
      <c r="G51" s="405"/>
    </row>
    <row r="52" spans="1:7" s="99" customFormat="1" ht="15" customHeight="1" x14ac:dyDescent="0.2">
      <c r="A52" s="97"/>
      <c r="B52" s="109" t="s">
        <v>54</v>
      </c>
      <c r="C52" s="3" t="s">
        <v>55</v>
      </c>
      <c r="D52" s="142">
        <v>7135</v>
      </c>
      <c r="E52" s="142">
        <v>8039</v>
      </c>
      <c r="F52" s="142">
        <v>6352</v>
      </c>
      <c r="G52" s="142"/>
    </row>
    <row r="53" spans="1:7" s="99" customFormat="1" ht="15" hidden="1" customHeight="1" x14ac:dyDescent="0.2">
      <c r="A53" s="97"/>
      <c r="B53" s="109"/>
      <c r="C53" s="400" t="s">
        <v>535</v>
      </c>
      <c r="D53" s="405"/>
      <c r="E53" s="405"/>
      <c r="F53" s="405"/>
      <c r="G53" s="405"/>
    </row>
    <row r="54" spans="1:7" s="99" customFormat="1" ht="15" customHeight="1" x14ac:dyDescent="0.2">
      <c r="A54" s="97"/>
      <c r="B54" s="109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09" t="s">
        <v>58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thickBot="1" x14ac:dyDescent="0.25">
      <c r="A56" s="1132" t="s">
        <v>3</v>
      </c>
      <c r="B56" s="2"/>
      <c r="C56" s="1156" t="s">
        <v>1513</v>
      </c>
      <c r="D56" s="141">
        <f>SUM(D57:D60)</f>
        <v>0</v>
      </c>
      <c r="E56" s="141">
        <f t="shared" ref="E56:F56" si="3">SUM(E57:E60)</f>
        <v>1960</v>
      </c>
      <c r="F56" s="141">
        <f t="shared" si="3"/>
        <v>254</v>
      </c>
      <c r="G56" s="141"/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1960</v>
      </c>
      <c r="F57" s="147">
        <v>254</v>
      </c>
      <c r="G57" s="147"/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thickBot="1" x14ac:dyDescent="0.25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thickBot="1" x14ac:dyDescent="0.25">
      <c r="A61" s="1132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thickBot="1" x14ac:dyDescent="0.25">
      <c r="A62" s="1132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68</v>
      </c>
      <c r="B63" s="151"/>
      <c r="C63" s="354" t="s">
        <v>1501</v>
      </c>
      <c r="D63" s="152">
        <f>+D47+D56+D61</f>
        <v>44564</v>
      </c>
      <c r="E63" s="152">
        <f t="shared" ref="E63" si="4">+E47+E56+E61</f>
        <v>49505</v>
      </c>
      <c r="F63" s="152">
        <f>+F47+F56+F61+F62</f>
        <v>54850</v>
      </c>
      <c r="G63" s="152">
        <f>F63/E63*100</f>
        <v>110.79688920311079</v>
      </c>
    </row>
    <row r="64" spans="1:7" s="99" customFormat="1" ht="15" customHeight="1" thickBot="1" x14ac:dyDescent="0.25">
      <c r="A64" s="403"/>
      <c r="B64" s="336"/>
      <c r="C64" s="355" t="s">
        <v>544</v>
      </c>
      <c r="D64" s="388">
        <f>SUM(D49+D51+D53)</f>
        <v>0</v>
      </c>
      <c r="E64" s="388">
        <f t="shared" ref="E64:F64" si="5">SUM(E49+E51+E53)</f>
        <v>0</v>
      </c>
      <c r="F64" s="388">
        <f t="shared" si="5"/>
        <v>0</v>
      </c>
      <c r="G64" s="388" t="e">
        <f>F64/E64*100</f>
        <v>#DIV/0!</v>
      </c>
    </row>
    <row r="65" spans="1:7" s="99" customFormat="1" ht="15" customHeight="1" thickBot="1" x14ac:dyDescent="0.25">
      <c r="A65" s="133" t="s">
        <v>136</v>
      </c>
      <c r="B65" s="134"/>
      <c r="C65" s="135"/>
      <c r="D65" s="356">
        <v>15</v>
      </c>
      <c r="E65" s="356">
        <v>15</v>
      </c>
      <c r="F65" s="136">
        <v>16.25</v>
      </c>
      <c r="G65" s="356"/>
    </row>
    <row r="66" spans="1:7" s="99" customFormat="1" ht="15" customHeight="1" thickBot="1" x14ac:dyDescent="0.25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39370078740157483" top="0.23622047244094491" bottom="0.39370078740157483" header="0.51181102362204722" footer="0.15748031496062992"/>
  <pageSetup paperSize="9" scale="82" firstPageNumber="73" orientation="portrait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64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6.1640625" style="76" customWidth="1"/>
    <col min="4" max="4" width="13.5" style="76" hidden="1" customWidth="1"/>
    <col min="5" max="5" width="13.83203125" style="76" hidden="1" customWidth="1"/>
    <col min="6" max="6" width="20.33203125" style="76" customWidth="1"/>
    <col min="7" max="7" width="10.1640625" style="76" hidden="1" customWidth="1"/>
    <col min="8" max="8" width="10.164062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1801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562</v>
      </c>
      <c r="D2" s="1523" t="s">
        <v>1024</v>
      </c>
      <c r="E2" s="343"/>
      <c r="F2" s="1523" t="s">
        <v>1420</v>
      </c>
      <c r="G2" s="343"/>
    </row>
    <row r="3" spans="1:7" s="410" customFormat="1" ht="29.25" customHeight="1" thickBot="1" x14ac:dyDescent="0.25">
      <c r="A3" s="1554" t="s">
        <v>122</v>
      </c>
      <c r="B3" s="1554"/>
      <c r="C3" s="1167" t="s">
        <v>1511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5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9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40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" customHeight="1" thickBot="1" x14ac:dyDescent="0.25">
      <c r="A19" s="1139" t="s">
        <v>3</v>
      </c>
      <c r="B19" s="94"/>
      <c r="C19" s="1142" t="s">
        <v>1482</v>
      </c>
      <c r="D19" s="141">
        <f>SUM(D20:D26)-D21</f>
        <v>38855</v>
      </c>
      <c r="E19" s="141">
        <f t="shared" ref="E19:F19" si="1">SUM(E20:E26)-E21</f>
        <v>39688</v>
      </c>
      <c r="F19" s="141">
        <f t="shared" si="1"/>
        <v>0</v>
      </c>
      <c r="G19" s="141">
        <f>F19/E19*100</f>
        <v>0</v>
      </c>
    </row>
    <row r="20" spans="1:7" s="99" customFormat="1" ht="30.75" customHeight="1" x14ac:dyDescent="0.2">
      <c r="A20" s="97"/>
      <c r="B20" s="98" t="s">
        <v>4</v>
      </c>
      <c r="C20" s="1151" t="s">
        <v>1483</v>
      </c>
      <c r="D20" s="142">
        <v>38855</v>
      </c>
      <c r="E20" s="142">
        <v>39658</v>
      </c>
      <c r="F20" s="142">
        <v>0</v>
      </c>
      <c r="G20" s="142"/>
    </row>
    <row r="21" spans="1:7" s="99" customFormat="1" ht="15" hidden="1" customHeight="1" x14ac:dyDescent="0.2">
      <c r="A21" s="97"/>
      <c r="B21" s="1168"/>
      <c r="C21" s="1151"/>
      <c r="D21" s="142"/>
      <c r="E21" s="142"/>
      <c r="F21" s="142"/>
      <c r="G21" s="142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>
        <v>0</v>
      </c>
      <c r="E22" s="142">
        <v>0</v>
      </c>
      <c r="F22" s="142">
        <v>0</v>
      </c>
      <c r="G22" s="142"/>
    </row>
    <row r="23" spans="1:7" s="99" customFormat="1" ht="15" customHeight="1" x14ac:dyDescent="0.2">
      <c r="A23" s="1173"/>
      <c r="B23" s="1148" t="s">
        <v>255</v>
      </c>
      <c r="C23" s="1152" t="s">
        <v>1484</v>
      </c>
      <c r="D23" s="1174"/>
      <c r="E23" s="1174"/>
      <c r="F23" s="1174">
        <v>0</v>
      </c>
      <c r="G23" s="1174"/>
    </row>
    <row r="24" spans="1:7" s="99" customFormat="1" ht="15" customHeight="1" x14ac:dyDescent="0.2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x14ac:dyDescent="0.2">
      <c r="A25" s="1173"/>
      <c r="B25" s="1148" t="s">
        <v>6</v>
      </c>
      <c r="C25" s="1144" t="s">
        <v>1485</v>
      </c>
      <c r="D25" s="1174"/>
      <c r="E25" s="1174"/>
      <c r="F25" s="1174">
        <v>0</v>
      </c>
      <c r="G25" s="1174"/>
    </row>
    <row r="26" spans="1:7" s="99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30</v>
      </c>
      <c r="F26" s="142">
        <v>0</v>
      </c>
      <c r="G26" s="142"/>
    </row>
    <row r="27" spans="1:7" s="99" customFormat="1" ht="15" customHeight="1" thickBot="1" x14ac:dyDescent="0.25">
      <c r="A27" s="1139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9" customFormat="1" ht="15" customHeight="1" thickBot="1" x14ac:dyDescent="0.25">
      <c r="A28" s="1139"/>
      <c r="B28" s="1148" t="s">
        <v>13</v>
      </c>
      <c r="C28" s="1144" t="s">
        <v>1488</v>
      </c>
      <c r="D28" s="1178"/>
      <c r="E28" s="1178"/>
      <c r="F28" s="1186">
        <v>0</v>
      </c>
      <c r="G28" s="1178"/>
    </row>
    <row r="29" spans="1:7" s="96" customFormat="1" ht="15" customHeight="1" thickBot="1" x14ac:dyDescent="0.25">
      <c r="A29" s="1139" t="s">
        <v>68</v>
      </c>
      <c r="B29" s="94"/>
      <c r="C29" s="1156" t="s">
        <v>1505</v>
      </c>
      <c r="D29" s="119">
        <v>0</v>
      </c>
      <c r="E29" s="119">
        <v>0</v>
      </c>
      <c r="F29" s="119">
        <v>0</v>
      </c>
      <c r="G29" s="119"/>
    </row>
    <row r="30" spans="1:7" s="96" customFormat="1" ht="15" customHeight="1" thickBot="1" x14ac:dyDescent="0.25">
      <c r="A30" s="1140"/>
      <c r="B30" s="1160" t="s">
        <v>133</v>
      </c>
      <c r="C30" s="1144" t="s">
        <v>1489</v>
      </c>
      <c r="D30" s="1181"/>
      <c r="E30" s="1181"/>
      <c r="F30" s="142">
        <v>0</v>
      </c>
      <c r="G30" s="148"/>
    </row>
    <row r="31" spans="1:7" s="96" customFormat="1" ht="15" customHeight="1" thickBot="1" x14ac:dyDescent="0.25">
      <c r="A31" s="100"/>
      <c r="B31" s="1160" t="s">
        <v>983</v>
      </c>
      <c r="C31" s="1144" t="s">
        <v>1490</v>
      </c>
      <c r="D31" s="1181"/>
      <c r="E31" s="1181"/>
      <c r="F31" s="1174">
        <v>0</v>
      </c>
      <c r="G31" s="149"/>
    </row>
    <row r="32" spans="1:7" s="96" customFormat="1" ht="15" customHeight="1" thickBot="1" x14ac:dyDescent="0.25">
      <c r="A32" s="1141"/>
      <c r="B32" s="1160" t="s">
        <v>149</v>
      </c>
      <c r="C32" s="1144" t="s">
        <v>1491</v>
      </c>
      <c r="D32" s="1181"/>
      <c r="E32" s="1181"/>
      <c r="F32" s="142">
        <v>0</v>
      </c>
      <c r="G32" s="146"/>
    </row>
    <row r="33" spans="1:9" s="99" customFormat="1" ht="28.5" customHeight="1" thickBot="1" x14ac:dyDescent="0.25">
      <c r="A33" s="1139" t="s">
        <v>27</v>
      </c>
      <c r="B33" s="1161"/>
      <c r="C33" s="1156" t="s">
        <v>1506</v>
      </c>
      <c r="D33" s="148">
        <v>0</v>
      </c>
      <c r="E33" s="148">
        <f>SUM(E34:E35)</f>
        <v>79</v>
      </c>
      <c r="F33" s="148">
        <f>SUM(F34:F35)</f>
        <v>0</v>
      </c>
      <c r="G33" s="119"/>
      <c r="I33" s="110">
        <f>SUM(F58-F39)</f>
        <v>0</v>
      </c>
    </row>
    <row r="34" spans="1:9" s="99" customFormat="1" ht="30" customHeight="1" thickBot="1" x14ac:dyDescent="0.25">
      <c r="A34" s="1140"/>
      <c r="B34" s="1162" t="s">
        <v>28</v>
      </c>
      <c r="C34" s="1151" t="s">
        <v>1492</v>
      </c>
      <c r="D34" s="149">
        <v>0</v>
      </c>
      <c r="E34" s="149">
        <v>79</v>
      </c>
      <c r="F34" s="149">
        <v>0</v>
      </c>
      <c r="G34" s="1178"/>
      <c r="I34" s="110"/>
    </row>
    <row r="35" spans="1:9" s="99" customFormat="1" ht="15" hidden="1" customHeight="1" thickBot="1" x14ac:dyDescent="0.25">
      <c r="A35" s="100"/>
      <c r="B35" s="1163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19"/>
    </row>
    <row r="36" spans="1:9" s="99" customFormat="1" ht="15" customHeight="1" thickBot="1" x14ac:dyDescent="0.3">
      <c r="A36" s="116" t="s">
        <v>32</v>
      </c>
      <c r="B36" s="117"/>
      <c r="C36" s="1142" t="s">
        <v>1493</v>
      </c>
      <c r="D36" s="119">
        <v>5709</v>
      </c>
      <c r="E36" s="119">
        <v>9738</v>
      </c>
      <c r="F36" s="119">
        <v>0</v>
      </c>
      <c r="G36" s="1178"/>
    </row>
    <row r="37" spans="1:9" s="99" customFormat="1" ht="30" customHeight="1" thickBot="1" x14ac:dyDescent="0.25">
      <c r="A37" s="1180"/>
      <c r="B37" s="1164" t="s">
        <v>33</v>
      </c>
      <c r="C37" s="1144" t="s">
        <v>1494</v>
      </c>
      <c r="D37" s="1178"/>
      <c r="E37" s="1178"/>
      <c r="F37" s="1186">
        <v>0</v>
      </c>
      <c r="G37" s="1178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78"/>
      <c r="E38" s="1178"/>
      <c r="F38" s="1178">
        <v>0</v>
      </c>
      <c r="G38" s="1178"/>
    </row>
    <row r="39" spans="1:9" s="99" customFormat="1" ht="15" customHeight="1" thickBot="1" x14ac:dyDescent="0.25">
      <c r="A39" s="1140"/>
      <c r="B39" s="1160" t="s">
        <v>36</v>
      </c>
      <c r="C39" s="1144" t="s">
        <v>1496</v>
      </c>
      <c r="D39" s="1178"/>
      <c r="E39" s="1178"/>
      <c r="F39" s="142">
        <v>0</v>
      </c>
      <c r="G39" s="152" t="e">
        <f>F39/E39*100</f>
        <v>#DIV/0!</v>
      </c>
      <c r="I39" s="110"/>
    </row>
    <row r="40" spans="1:9" s="99" customFormat="1" ht="13.5" customHeight="1" thickBot="1" x14ac:dyDescent="0.25">
      <c r="A40" s="100"/>
      <c r="B40" s="1160" t="s">
        <v>37</v>
      </c>
      <c r="C40" s="1144" t="s">
        <v>1497</v>
      </c>
      <c r="D40" s="1178"/>
      <c r="E40" s="1178"/>
      <c r="F40" s="1174">
        <v>0</v>
      </c>
      <c r="G40" s="390"/>
    </row>
    <row r="41" spans="1:9" s="411" customFormat="1" ht="15" customHeight="1" thickBot="1" x14ac:dyDescent="0.25">
      <c r="A41" s="1141"/>
      <c r="B41" s="1160" t="s">
        <v>1499</v>
      </c>
      <c r="C41" s="1144" t="s">
        <v>1498</v>
      </c>
      <c r="D41" s="119"/>
      <c r="E41" s="119"/>
      <c r="F41" s="142">
        <v>0</v>
      </c>
      <c r="G41" s="152"/>
    </row>
    <row r="42" spans="1:9" s="96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SUM(D8,D19,D27,D29,D33,D36)</f>
        <v>44564</v>
      </c>
      <c r="E42" s="152">
        <f>SUM(E8,E19,E27,E29,E33,E36)</f>
        <v>49505</v>
      </c>
      <c r="F42" s="152">
        <f>SUM(F8,F19,F27,F29,F33,F36,F38)</f>
        <v>0</v>
      </c>
      <c r="G42" s="141">
        <f>F42/E42*100</f>
        <v>0</v>
      </c>
    </row>
    <row r="43" spans="1:9" s="99" customFormat="1" ht="15" customHeight="1" thickBot="1" x14ac:dyDescent="0.25">
      <c r="A43" s="131"/>
      <c r="B43" s="132"/>
      <c r="C43" s="132"/>
      <c r="D43" s="390"/>
      <c r="E43" s="390"/>
      <c r="F43" s="390"/>
      <c r="G43" s="147"/>
    </row>
    <row r="44" spans="1:9" s="99" customFormat="1" ht="15" hidden="1" customHeight="1" x14ac:dyDescent="0.2">
      <c r="A44" s="150"/>
      <c r="B44" s="151"/>
      <c r="C44" s="387" t="s">
        <v>82</v>
      </c>
      <c r="D44" s="152"/>
      <c r="E44" s="152"/>
      <c r="F44" s="152"/>
      <c r="G44" s="405"/>
    </row>
    <row r="45" spans="1:9" s="99" customFormat="1" ht="15" customHeight="1" thickBot="1" x14ac:dyDescent="0.25">
      <c r="A45" s="1139" t="s">
        <v>2</v>
      </c>
      <c r="B45" s="2"/>
      <c r="C45" s="1156" t="s">
        <v>49</v>
      </c>
      <c r="D45" s="141">
        <f>SUM(D46+D48+D50)</f>
        <v>44564</v>
      </c>
      <c r="E45" s="141">
        <f t="shared" ref="E45" si="2">SUM(E46+E48+E50)</f>
        <v>47545</v>
      </c>
      <c r="F45" s="141">
        <f>SUM(F46+F48+F50)</f>
        <v>0</v>
      </c>
      <c r="G45" s="142"/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29501</v>
      </c>
      <c r="E46" s="147">
        <v>31136</v>
      </c>
      <c r="F46" s="147">
        <v>0</v>
      </c>
      <c r="G46" s="405"/>
    </row>
    <row r="47" spans="1:9" s="99" customFormat="1" ht="15" hidden="1" customHeight="1" x14ac:dyDescent="0.2">
      <c r="A47" s="113"/>
      <c r="B47" s="124"/>
      <c r="C47" s="400" t="s">
        <v>535</v>
      </c>
      <c r="D47" s="405"/>
      <c r="E47" s="405"/>
      <c r="F47" s="405"/>
      <c r="G47" s="142"/>
    </row>
    <row r="48" spans="1:9" s="99" customFormat="1" ht="15" customHeight="1" x14ac:dyDescent="0.2">
      <c r="A48" s="97"/>
      <c r="B48" s="109" t="s">
        <v>52</v>
      </c>
      <c r="C48" s="3" t="s">
        <v>53</v>
      </c>
      <c r="D48" s="142">
        <v>7928</v>
      </c>
      <c r="E48" s="142">
        <v>8370</v>
      </c>
      <c r="F48" s="142">
        <v>0</v>
      </c>
      <c r="G48" s="405"/>
    </row>
    <row r="49" spans="1:7" s="99" customFormat="1" ht="15" hidden="1" customHeight="1" x14ac:dyDescent="0.2">
      <c r="A49" s="97"/>
      <c r="B49" s="109"/>
      <c r="C49" s="400" t="s">
        <v>535</v>
      </c>
      <c r="D49" s="405"/>
      <c r="E49" s="405"/>
      <c r="F49" s="405"/>
      <c r="G49" s="142"/>
    </row>
    <row r="50" spans="1:7" s="99" customFormat="1" ht="15" customHeight="1" x14ac:dyDescent="0.2">
      <c r="A50" s="97"/>
      <c r="B50" s="109" t="s">
        <v>54</v>
      </c>
      <c r="C50" s="3" t="s">
        <v>55</v>
      </c>
      <c r="D50" s="142">
        <v>7135</v>
      </c>
      <c r="E50" s="142">
        <v>8039</v>
      </c>
      <c r="F50" s="142">
        <v>0</v>
      </c>
      <c r="G50" s="142"/>
    </row>
    <row r="51" spans="1:7" s="99" customFormat="1" ht="15" hidden="1" customHeight="1" thickBot="1" x14ac:dyDescent="0.25">
      <c r="A51" s="97"/>
      <c r="B51" s="109"/>
      <c r="C51" s="400" t="s">
        <v>535</v>
      </c>
      <c r="D51" s="405"/>
      <c r="E51" s="405"/>
      <c r="F51" s="405"/>
      <c r="G51" s="141"/>
    </row>
    <row r="52" spans="1:7" s="96" customFormat="1" ht="15" customHeight="1" x14ac:dyDescent="0.2">
      <c r="A52" s="97"/>
      <c r="B52" s="109" t="s">
        <v>56</v>
      </c>
      <c r="C52" s="3" t="s">
        <v>57</v>
      </c>
      <c r="D52" s="142"/>
      <c r="E52" s="142"/>
      <c r="F52" s="142">
        <v>0</v>
      </c>
      <c r="G52" s="147"/>
    </row>
    <row r="53" spans="1:7" s="99" customFormat="1" ht="15" customHeight="1" thickBot="1" x14ac:dyDescent="0.25">
      <c r="A53" s="97"/>
      <c r="B53" s="109" t="s">
        <v>58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.75" thickBot="1" x14ac:dyDescent="0.25">
      <c r="A54" s="1139" t="s">
        <v>3</v>
      </c>
      <c r="B54" s="2"/>
      <c r="C54" s="1156" t="s">
        <v>1513</v>
      </c>
      <c r="D54" s="141">
        <f>SUM(D55:D58)</f>
        <v>0</v>
      </c>
      <c r="E54" s="141">
        <f t="shared" ref="E54:F54" si="3">SUM(E55:E58)</f>
        <v>1960</v>
      </c>
      <c r="F54" s="141">
        <f t="shared" si="3"/>
        <v>0</v>
      </c>
      <c r="G54" s="142"/>
    </row>
    <row r="55" spans="1:7" s="99" customFormat="1" ht="15" customHeight="1" thickBot="1" x14ac:dyDescent="0.25">
      <c r="A55" s="113"/>
      <c r="B55" s="1165" t="s">
        <v>4</v>
      </c>
      <c r="C55" s="1151" t="s">
        <v>1173</v>
      </c>
      <c r="D55" s="147">
        <v>0</v>
      </c>
      <c r="E55" s="147">
        <v>1960</v>
      </c>
      <c r="F55" s="147">
        <v>0</v>
      </c>
      <c r="G55" s="142"/>
    </row>
    <row r="56" spans="1:7" s="99" customFormat="1" ht="15" customHeight="1" thickBot="1" x14ac:dyDescent="0.25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19"/>
    </row>
    <row r="57" spans="1:7" s="99" customFormat="1" ht="15" customHeight="1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19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52" t="e">
        <f>F58/E58*100</f>
        <v>#DIV/0!</v>
      </c>
    </row>
    <row r="59" spans="1:7" s="99" customFormat="1" ht="15" hidden="1" customHeight="1" thickBot="1" x14ac:dyDescent="0.25">
      <c r="A59" s="1139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388" t="e">
        <f>F59/E59*100</f>
        <v>#DIV/0!</v>
      </c>
    </row>
    <row r="60" spans="1:7" s="99" customFormat="1" ht="15" hidden="1" customHeight="1" thickBot="1" x14ac:dyDescent="0.25">
      <c r="A60" s="1139"/>
      <c r="B60" s="2"/>
      <c r="C60" s="10" t="s">
        <v>515</v>
      </c>
      <c r="D60" s="119"/>
      <c r="E60" s="119"/>
      <c r="F60" s="119"/>
      <c r="G60" s="356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+D45+D54+D59</f>
        <v>44564</v>
      </c>
      <c r="E61" s="152">
        <f t="shared" ref="E61" si="4">+E45+E54+E59</f>
        <v>49505</v>
      </c>
      <c r="F61" s="152">
        <f>+F45+F54</f>
        <v>0</v>
      </c>
      <c r="G61" s="356"/>
    </row>
    <row r="62" spans="1:7" ht="15.75" thickBot="1" x14ac:dyDescent="0.25">
      <c r="A62" s="403"/>
      <c r="B62" s="336"/>
      <c r="C62" s="355" t="s">
        <v>544</v>
      </c>
      <c r="D62" s="388">
        <f>SUM(D47+D49+D51)</f>
        <v>0</v>
      </c>
      <c r="E62" s="388">
        <f t="shared" ref="E62:F62" si="5">SUM(E47+E49+E51)</f>
        <v>0</v>
      </c>
      <c r="F62" s="388">
        <f t="shared" si="5"/>
        <v>0</v>
      </c>
    </row>
    <row r="63" spans="1:7" ht="15.75" thickBot="1" x14ac:dyDescent="0.25">
      <c r="A63" s="133" t="s">
        <v>136</v>
      </c>
      <c r="B63" s="134"/>
      <c r="C63" s="135"/>
      <c r="D63" s="356">
        <v>15</v>
      </c>
      <c r="E63" s="356">
        <v>15</v>
      </c>
      <c r="F63" s="136"/>
    </row>
    <row r="64" spans="1:7" ht="15.75" thickBot="1" x14ac:dyDescent="0.25">
      <c r="A64" s="133" t="s">
        <v>137</v>
      </c>
      <c r="B64" s="134"/>
      <c r="C64" s="135"/>
      <c r="D64" s="356"/>
      <c r="E64" s="356"/>
      <c r="F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39370078740157483" top="0.23622047244094491" bottom="0.39370078740157483" header="0.51181102362204722" footer="0.15748031496062992"/>
  <pageSetup paperSize="9" scale="82" firstPageNumber="73" orientation="portrait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64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6.1640625" style="76" customWidth="1"/>
    <col min="4" max="4" width="13.5" style="76" hidden="1" customWidth="1"/>
    <col min="5" max="5" width="13.83203125" style="76" hidden="1" customWidth="1"/>
    <col min="6" max="6" width="18.6640625" style="76" customWidth="1"/>
    <col min="7" max="7" width="10.1640625" style="76" hidden="1" customWidth="1"/>
    <col min="8" max="8" width="10.164062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1802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562</v>
      </c>
      <c r="D2" s="1523" t="s">
        <v>1024</v>
      </c>
      <c r="E2" s="343"/>
      <c r="F2" s="1523" t="s">
        <v>1420</v>
      </c>
      <c r="G2" s="343"/>
    </row>
    <row r="3" spans="1:7" s="410" customFormat="1" ht="29.25" customHeight="1" thickBot="1" x14ac:dyDescent="0.25">
      <c r="A3" s="1554" t="s">
        <v>122</v>
      </c>
      <c r="B3" s="1554"/>
      <c r="C3" s="1167" t="s">
        <v>1509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5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.75" customHeight="1" thickBot="1" x14ac:dyDescent="0.25">
      <c r="A19" s="1132" t="s">
        <v>3</v>
      </c>
      <c r="B19" s="94"/>
      <c r="C19" s="1142" t="s">
        <v>1482</v>
      </c>
      <c r="D19" s="141">
        <f>SUM(D20:D26)-D21</f>
        <v>38855</v>
      </c>
      <c r="E19" s="141">
        <f t="shared" ref="E19:F19" si="1">SUM(E20:E26)-E21</f>
        <v>39688</v>
      </c>
      <c r="F19" s="141">
        <f t="shared" si="1"/>
        <v>0</v>
      </c>
      <c r="G19" s="141">
        <f>F19/E19*100</f>
        <v>0</v>
      </c>
    </row>
    <row r="20" spans="1:7" s="99" customFormat="1" ht="30.75" customHeight="1" x14ac:dyDescent="0.2">
      <c r="A20" s="97"/>
      <c r="B20" s="98" t="s">
        <v>4</v>
      </c>
      <c r="C20" s="1151" t="s">
        <v>1483</v>
      </c>
      <c r="D20" s="142">
        <v>38855</v>
      </c>
      <c r="E20" s="142">
        <v>39658</v>
      </c>
      <c r="F20" s="142">
        <v>0</v>
      </c>
      <c r="G20" s="142"/>
    </row>
    <row r="21" spans="1:7" s="99" customFormat="1" ht="15" hidden="1" customHeight="1" x14ac:dyDescent="0.2">
      <c r="A21" s="97"/>
      <c r="B21" s="1168"/>
      <c r="C21" s="1151"/>
      <c r="D21" s="142"/>
      <c r="E21" s="142"/>
      <c r="F21" s="142"/>
      <c r="G21" s="142"/>
    </row>
    <row r="22" spans="1:7" s="99" customFormat="1" ht="15" customHeight="1" x14ac:dyDescent="0.2">
      <c r="A22" s="97"/>
      <c r="B22" s="1148" t="s">
        <v>239</v>
      </c>
      <c r="C22" s="1152" t="s">
        <v>34</v>
      </c>
      <c r="D22" s="142">
        <v>0</v>
      </c>
      <c r="E22" s="142">
        <v>0</v>
      </c>
      <c r="F22" s="142">
        <v>0</v>
      </c>
      <c r="G22" s="142"/>
    </row>
    <row r="23" spans="1:7" s="99" customFormat="1" ht="15" customHeight="1" x14ac:dyDescent="0.2">
      <c r="A23" s="1173"/>
      <c r="B23" s="1148" t="s">
        <v>255</v>
      </c>
      <c r="C23" s="1152" t="s">
        <v>1484</v>
      </c>
      <c r="D23" s="1174"/>
      <c r="E23" s="1174"/>
      <c r="F23" s="1174">
        <v>0</v>
      </c>
      <c r="G23" s="1174"/>
    </row>
    <row r="24" spans="1:7" s="99" customFormat="1" ht="15" customHeight="1" x14ac:dyDescent="0.2">
      <c r="A24" s="97"/>
      <c r="B24" s="1148" t="s">
        <v>212</v>
      </c>
      <c r="C24" s="3" t="s">
        <v>501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x14ac:dyDescent="0.2">
      <c r="A25" s="1173"/>
      <c r="B25" s="1148" t="s">
        <v>6</v>
      </c>
      <c r="C25" s="1144" t="s">
        <v>1485</v>
      </c>
      <c r="D25" s="1174"/>
      <c r="E25" s="1174"/>
      <c r="F25" s="1174">
        <v>0</v>
      </c>
      <c r="G25" s="1174"/>
    </row>
    <row r="26" spans="1:7" s="99" customFormat="1" ht="15" customHeight="1" thickBot="1" x14ac:dyDescent="0.25">
      <c r="A26" s="97"/>
      <c r="B26" s="98" t="s">
        <v>7</v>
      </c>
      <c r="C26" s="1144" t="s">
        <v>1486</v>
      </c>
      <c r="D26" s="142">
        <v>0</v>
      </c>
      <c r="E26" s="142">
        <v>30</v>
      </c>
      <c r="F26" s="142">
        <v>0</v>
      </c>
      <c r="G26" s="142"/>
    </row>
    <row r="27" spans="1:7" s="99" customFormat="1" ht="15" customHeight="1" thickBot="1" x14ac:dyDescent="0.25">
      <c r="A27" s="1139" t="s">
        <v>12</v>
      </c>
      <c r="B27" s="2"/>
      <c r="C27" s="1142" t="s">
        <v>1487</v>
      </c>
      <c r="D27" s="119">
        <v>0</v>
      </c>
      <c r="E27" s="119">
        <v>0</v>
      </c>
      <c r="F27" s="119">
        <v>0</v>
      </c>
      <c r="G27" s="119"/>
    </row>
    <row r="28" spans="1:7" s="99" customFormat="1" ht="15" customHeight="1" thickBot="1" x14ac:dyDescent="0.25">
      <c r="A28" s="1139"/>
      <c r="B28" s="1148" t="s">
        <v>13</v>
      </c>
      <c r="C28" s="1144" t="s">
        <v>1488</v>
      </c>
      <c r="D28" s="1178"/>
      <c r="E28" s="1178"/>
      <c r="F28" s="1186">
        <v>0</v>
      </c>
      <c r="G28" s="1178"/>
    </row>
    <row r="29" spans="1:7" s="96" customFormat="1" ht="15" customHeight="1" thickBot="1" x14ac:dyDescent="0.25">
      <c r="A29" s="1139" t="s">
        <v>68</v>
      </c>
      <c r="B29" s="94"/>
      <c r="C29" s="1156" t="s">
        <v>1505</v>
      </c>
      <c r="D29" s="119">
        <v>0</v>
      </c>
      <c r="E29" s="119">
        <v>0</v>
      </c>
      <c r="F29" s="119">
        <f>SUM(F30:F32)</f>
        <v>0</v>
      </c>
      <c r="G29" s="119"/>
    </row>
    <row r="30" spans="1:7" s="96" customFormat="1" ht="15" customHeight="1" thickBot="1" x14ac:dyDescent="0.25">
      <c r="A30" s="1140"/>
      <c r="B30" s="1160" t="s">
        <v>133</v>
      </c>
      <c r="C30" s="1144" t="s">
        <v>1489</v>
      </c>
      <c r="D30" s="1181"/>
      <c r="E30" s="1181"/>
      <c r="F30" s="142">
        <v>0</v>
      </c>
      <c r="G30" s="1181"/>
    </row>
    <row r="31" spans="1:7" s="96" customFormat="1" ht="15" customHeight="1" thickBot="1" x14ac:dyDescent="0.25">
      <c r="A31" s="100"/>
      <c r="B31" s="1160" t="s">
        <v>983</v>
      </c>
      <c r="C31" s="1144" t="s">
        <v>1490</v>
      </c>
      <c r="D31" s="1181"/>
      <c r="E31" s="1181"/>
      <c r="F31" s="1174">
        <v>0</v>
      </c>
      <c r="G31" s="1181"/>
    </row>
    <row r="32" spans="1:7" s="96" customFormat="1" ht="15" customHeight="1" thickBot="1" x14ac:dyDescent="0.25">
      <c r="A32" s="1141"/>
      <c r="B32" s="1160" t="s">
        <v>149</v>
      </c>
      <c r="C32" s="1144" t="s">
        <v>1491</v>
      </c>
      <c r="D32" s="1181"/>
      <c r="E32" s="1181"/>
      <c r="F32" s="142">
        <v>0</v>
      </c>
      <c r="G32" s="1181"/>
    </row>
    <row r="33" spans="1:9" s="96" customFormat="1" ht="30.75" customHeight="1" thickBot="1" x14ac:dyDescent="0.25">
      <c r="A33" s="1139" t="s">
        <v>27</v>
      </c>
      <c r="B33" s="1161"/>
      <c r="C33" s="1156" t="s">
        <v>1506</v>
      </c>
      <c r="D33" s="148">
        <v>0</v>
      </c>
      <c r="E33" s="148">
        <f>SUM(E34:E35)</f>
        <v>79</v>
      </c>
      <c r="F33" s="148">
        <f>SUM(F34:F35)</f>
        <v>0</v>
      </c>
      <c r="G33" s="148"/>
    </row>
    <row r="34" spans="1:9" s="96" customFormat="1" ht="15" customHeight="1" thickBot="1" x14ac:dyDescent="0.25">
      <c r="A34" s="1177"/>
      <c r="B34" s="1162" t="s">
        <v>28</v>
      </c>
      <c r="C34" s="1151" t="s">
        <v>1492</v>
      </c>
      <c r="D34" s="149">
        <v>0</v>
      </c>
      <c r="E34" s="149">
        <v>79</v>
      </c>
      <c r="F34" s="149">
        <v>0</v>
      </c>
      <c r="G34" s="149"/>
    </row>
    <row r="35" spans="1:9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9" s="99" customFormat="1" ht="15" customHeight="1" thickBot="1" x14ac:dyDescent="0.3">
      <c r="A36" s="116" t="s">
        <v>32</v>
      </c>
      <c r="B36" s="117"/>
      <c r="C36" s="1142" t="s">
        <v>1493</v>
      </c>
      <c r="D36" s="119">
        <v>5709</v>
      </c>
      <c r="E36" s="119">
        <v>9738</v>
      </c>
      <c r="F36" s="119">
        <f>SUM(F37)</f>
        <v>0</v>
      </c>
      <c r="G36" s="119"/>
      <c r="I36" s="110">
        <f>SUM(F61-F42)</f>
        <v>0</v>
      </c>
    </row>
    <row r="37" spans="1:9" s="99" customFormat="1" ht="15" customHeight="1" thickBot="1" x14ac:dyDescent="0.25">
      <c r="A37" s="1180"/>
      <c r="B37" s="1164" t="s">
        <v>33</v>
      </c>
      <c r="C37" s="1144" t="s">
        <v>1494</v>
      </c>
      <c r="D37" s="1178"/>
      <c r="E37" s="1178"/>
      <c r="F37" s="1186">
        <v>0</v>
      </c>
      <c r="G37" s="1178"/>
      <c r="I37" s="110"/>
    </row>
    <row r="38" spans="1:9" s="99" customFormat="1" ht="15" customHeight="1" thickBot="1" x14ac:dyDescent="0.3">
      <c r="A38" s="116" t="s">
        <v>74</v>
      </c>
      <c r="B38" s="117"/>
      <c r="C38" s="1156" t="s">
        <v>1495</v>
      </c>
      <c r="D38" s="1178"/>
      <c r="E38" s="1178"/>
      <c r="F38" s="1178">
        <f>SUM(F39:F41)</f>
        <v>0</v>
      </c>
      <c r="G38" s="1178"/>
      <c r="I38" s="110"/>
    </row>
    <row r="39" spans="1:9" s="99" customFormat="1" ht="15" customHeight="1" thickBot="1" x14ac:dyDescent="0.25">
      <c r="A39" s="1140"/>
      <c r="B39" s="1160" t="s">
        <v>36</v>
      </c>
      <c r="C39" s="1144" t="s">
        <v>1496</v>
      </c>
      <c r="D39" s="1178"/>
      <c r="E39" s="1178"/>
      <c r="F39" s="142">
        <v>0</v>
      </c>
      <c r="G39" s="1178"/>
      <c r="I39" s="110"/>
    </row>
    <row r="40" spans="1:9" s="99" customFormat="1" ht="15" customHeight="1" thickBot="1" x14ac:dyDescent="0.25">
      <c r="A40" s="100"/>
      <c r="B40" s="1160" t="s">
        <v>37</v>
      </c>
      <c r="C40" s="1144" t="s">
        <v>1497</v>
      </c>
      <c r="D40" s="1178"/>
      <c r="E40" s="1178"/>
      <c r="F40" s="1174">
        <v>0</v>
      </c>
      <c r="G40" s="1178"/>
      <c r="I40" s="110"/>
    </row>
    <row r="41" spans="1:9" s="99" customFormat="1" ht="15" customHeight="1" thickBot="1" x14ac:dyDescent="0.25">
      <c r="A41" s="1141"/>
      <c r="B41" s="1160" t="s">
        <v>1499</v>
      </c>
      <c r="C41" s="1144" t="s">
        <v>1498</v>
      </c>
      <c r="D41" s="119"/>
      <c r="E41" s="119"/>
      <c r="F41" s="142">
        <v>0</v>
      </c>
      <c r="G41" s="119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SUM(D8,D19,D27,D29,D33,D36)</f>
        <v>44564</v>
      </c>
      <c r="E42" s="152">
        <f>SUM(E8,E19,E27,E29,E33,E36)</f>
        <v>49505</v>
      </c>
      <c r="F42" s="152">
        <f>SUM(F8,F19,F27,F29,F33,F36,F38)</f>
        <v>0</v>
      </c>
      <c r="G42" s="152">
        <f>F42/E42*100</f>
        <v>0</v>
      </c>
      <c r="I42" s="110"/>
    </row>
    <row r="43" spans="1:9" s="99" customFormat="1" ht="9.75" customHeight="1" thickBot="1" x14ac:dyDescent="0.25">
      <c r="A43" s="131"/>
      <c r="B43" s="132"/>
      <c r="C43" s="132"/>
      <c r="D43" s="390"/>
      <c r="E43" s="390"/>
      <c r="F43" s="390"/>
      <c r="G43" s="390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156" t="s">
        <v>49</v>
      </c>
      <c r="D45" s="141">
        <f>SUM(D46+D48+D50)</f>
        <v>44564</v>
      </c>
      <c r="E45" s="141">
        <f t="shared" ref="E45" si="2">SUM(E46+E48+E50)</f>
        <v>47545</v>
      </c>
      <c r="F45" s="141">
        <f>SUM(F46+F48+F50)</f>
        <v>0</v>
      </c>
      <c r="G45" s="141">
        <f>F45/E45*100</f>
        <v>0</v>
      </c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29501</v>
      </c>
      <c r="E46" s="147">
        <v>31136</v>
      </c>
      <c r="F46" s="147">
        <v>0</v>
      </c>
      <c r="G46" s="147"/>
    </row>
    <row r="47" spans="1:9" s="99" customFormat="1" ht="15" hidden="1" customHeight="1" x14ac:dyDescent="0.2">
      <c r="A47" s="113"/>
      <c r="B47" s="124"/>
      <c r="C47" s="400" t="s">
        <v>535</v>
      </c>
      <c r="D47" s="405"/>
      <c r="E47" s="405"/>
      <c r="F47" s="405"/>
      <c r="G47" s="405"/>
    </row>
    <row r="48" spans="1:9" s="99" customFormat="1" ht="15" customHeight="1" x14ac:dyDescent="0.2">
      <c r="A48" s="97"/>
      <c r="B48" s="109" t="s">
        <v>52</v>
      </c>
      <c r="C48" s="3" t="s">
        <v>53</v>
      </c>
      <c r="D48" s="142">
        <v>7928</v>
      </c>
      <c r="E48" s="142">
        <v>8370</v>
      </c>
      <c r="F48" s="142">
        <v>0</v>
      </c>
      <c r="G48" s="142"/>
    </row>
    <row r="49" spans="1:7" s="99" customFormat="1" ht="15" hidden="1" customHeight="1" x14ac:dyDescent="0.2">
      <c r="A49" s="97"/>
      <c r="B49" s="109"/>
      <c r="C49" s="400" t="s">
        <v>535</v>
      </c>
      <c r="D49" s="405"/>
      <c r="E49" s="405"/>
      <c r="F49" s="405"/>
      <c r="G49" s="405"/>
    </row>
    <row r="50" spans="1:7" s="99" customFormat="1" ht="15" customHeight="1" x14ac:dyDescent="0.2">
      <c r="A50" s="97"/>
      <c r="B50" s="109" t="s">
        <v>54</v>
      </c>
      <c r="C50" s="3" t="s">
        <v>55</v>
      </c>
      <c r="D50" s="142">
        <v>7135</v>
      </c>
      <c r="E50" s="142">
        <v>8039</v>
      </c>
      <c r="F50" s="142">
        <v>0</v>
      </c>
      <c r="G50" s="142"/>
    </row>
    <row r="51" spans="1:7" s="99" customFormat="1" ht="15" hidden="1" customHeight="1" x14ac:dyDescent="0.2">
      <c r="A51" s="97"/>
      <c r="B51" s="109"/>
      <c r="C51" s="400" t="s">
        <v>535</v>
      </c>
      <c r="D51" s="405"/>
      <c r="E51" s="405"/>
      <c r="F51" s="405"/>
      <c r="G51" s="405"/>
    </row>
    <row r="52" spans="1:7" s="99" customFormat="1" ht="15" customHeight="1" x14ac:dyDescent="0.2">
      <c r="A52" s="97"/>
      <c r="B52" s="109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09" t="s">
        <v>58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2" t="s">
        <v>3</v>
      </c>
      <c r="B54" s="2"/>
      <c r="C54" s="1156" t="s">
        <v>1513</v>
      </c>
      <c r="D54" s="141">
        <f>SUM(D55:D58)</f>
        <v>0</v>
      </c>
      <c r="E54" s="141">
        <f t="shared" ref="E54:F54" si="3">SUM(E55:E58)</f>
        <v>1960</v>
      </c>
      <c r="F54" s="141">
        <f t="shared" si="3"/>
        <v>0</v>
      </c>
      <c r="G54" s="141"/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1960</v>
      </c>
      <c r="F55" s="147">
        <v>0</v>
      </c>
      <c r="G55" s="147"/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+D45+D54+D59</f>
        <v>44564</v>
      </c>
      <c r="E61" s="152">
        <f t="shared" ref="E61" si="4">+E45+E54+E59</f>
        <v>49505</v>
      </c>
      <c r="F61" s="152">
        <f>+F45+F54</f>
        <v>0</v>
      </c>
      <c r="G61" s="152">
        <f>F61/E61*100</f>
        <v>0</v>
      </c>
    </row>
    <row r="62" spans="1:7" s="99" customFormat="1" ht="15" customHeight="1" thickBot="1" x14ac:dyDescent="0.25">
      <c r="A62" s="403"/>
      <c r="B62" s="336"/>
      <c r="C62" s="355" t="s">
        <v>544</v>
      </c>
      <c r="D62" s="388">
        <f>SUM(D47+D49+D51)</f>
        <v>0</v>
      </c>
      <c r="E62" s="388">
        <f t="shared" ref="E62:F62" si="5">SUM(E47+E49+E51)</f>
        <v>0</v>
      </c>
      <c r="F62" s="388">
        <f t="shared" si="5"/>
        <v>0</v>
      </c>
      <c r="G62" s="388" t="e">
        <f>F62/E62*100</f>
        <v>#DIV/0!</v>
      </c>
    </row>
    <row r="63" spans="1:7" s="99" customFormat="1" ht="15" customHeight="1" thickBot="1" x14ac:dyDescent="0.25">
      <c r="A63" s="133" t="s">
        <v>136</v>
      </c>
      <c r="B63" s="134"/>
      <c r="C63" s="135"/>
      <c r="D63" s="356">
        <v>15</v>
      </c>
      <c r="E63" s="356">
        <v>15</v>
      </c>
      <c r="F63" s="136"/>
      <c r="G63" s="35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39370078740157483" top="0.23622047244094491" bottom="0.39370078740157483" header="0.51181102362204722" footer="0.15748031496062992"/>
  <pageSetup paperSize="9" scale="82" firstPageNumber="73" orientation="portrait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62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33203125" style="76" customWidth="1"/>
    <col min="4" max="4" width="13.5" style="76" hidden="1" customWidth="1"/>
    <col min="5" max="5" width="15" style="76" hidden="1" customWidth="1"/>
    <col min="6" max="6" width="17.5" style="76" customWidth="1"/>
    <col min="7" max="7" width="10.33203125" style="76" hidden="1" customWidth="1"/>
    <col min="8" max="9" width="10.33203125" style="76" customWidth="1"/>
    <col min="10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1122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563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x14ac:dyDescent="0.2">
      <c r="A3" s="1554" t="s">
        <v>122</v>
      </c>
      <c r="B3" s="1554"/>
      <c r="C3" s="1167" t="s">
        <v>1510</v>
      </c>
      <c r="D3" s="1524"/>
      <c r="E3" s="327"/>
      <c r="F3" s="1524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8.5" x14ac:dyDescent="0.2">
      <c r="A19" s="1139" t="s">
        <v>3</v>
      </c>
      <c r="B19" s="94"/>
      <c r="C19" s="1142" t="s">
        <v>1482</v>
      </c>
      <c r="D19" s="141">
        <f>SUM(D20:D25)</f>
        <v>68967</v>
      </c>
      <c r="E19" s="141">
        <f t="shared" ref="E19:F19" si="1">SUM(E20:E25)</f>
        <v>70906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68967</v>
      </c>
      <c r="E20" s="142">
        <v>70906</v>
      </c>
      <c r="F20" s="142"/>
      <c r="G20" s="142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x14ac:dyDescent="0.2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x14ac:dyDescent="0.2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customHeight="1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1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161</v>
      </c>
      <c r="F36" s="148">
        <f>SUM(F37:F39)</f>
        <v>98140</v>
      </c>
      <c r="G36" s="148"/>
    </row>
    <row r="37" spans="1:9" s="96" customFormat="1" ht="15" x14ac:dyDescent="0.2">
      <c r="A37" s="1140"/>
      <c r="B37" s="1160" t="s">
        <v>36</v>
      </c>
      <c r="C37" s="1144" t="s">
        <v>1496</v>
      </c>
      <c r="D37" s="149">
        <v>0</v>
      </c>
      <c r="E37" s="149">
        <v>161</v>
      </c>
      <c r="F37" s="142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174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2651</v>
      </c>
      <c r="E39" s="119">
        <v>5245</v>
      </c>
      <c r="F39" s="142">
        <f>SUM(F40:F41)</f>
        <v>98140</v>
      </c>
      <c r="G39" s="119"/>
      <c r="I39" s="110">
        <f>SUM(F59-F43)</f>
        <v>0</v>
      </c>
    </row>
    <row r="40" spans="1:9" s="99" customFormat="1" ht="15" customHeight="1" thickBot="1" x14ac:dyDescent="0.25">
      <c r="A40" s="1408"/>
      <c r="B40" s="1413" t="s">
        <v>1777</v>
      </c>
      <c r="C40" s="1414" t="s">
        <v>1775</v>
      </c>
      <c r="D40" s="1224"/>
      <c r="E40" s="1224"/>
      <c r="F40" s="1416">
        <v>88221</v>
      </c>
      <c r="G40" s="1224"/>
      <c r="I40" s="110"/>
    </row>
    <row r="41" spans="1:9" s="99" customFormat="1" ht="15" customHeight="1" thickBot="1" x14ac:dyDescent="0.25">
      <c r="A41" s="1408"/>
      <c r="B41" s="1417" t="s">
        <v>1778</v>
      </c>
      <c r="C41" s="1418" t="s">
        <v>1776</v>
      </c>
      <c r="D41" s="1224"/>
      <c r="E41" s="1224"/>
      <c r="F41" s="1416">
        <v>9919</v>
      </c>
      <c r="G41" s="1224"/>
      <c r="I41" s="110"/>
    </row>
    <row r="42" spans="1:9" s="99" customFormat="1" ht="15" hidden="1" customHeight="1" thickBot="1" x14ac:dyDescent="0.3">
      <c r="A42" s="116"/>
      <c r="B42" s="117"/>
      <c r="C42" s="2" t="s">
        <v>542</v>
      </c>
      <c r="D42" s="119"/>
      <c r="E42" s="119"/>
      <c r="F42" s="119"/>
      <c r="G42" s="119"/>
    </row>
    <row r="43" spans="1:9" s="99" customFormat="1" ht="15" customHeight="1" thickBot="1" x14ac:dyDescent="0.25">
      <c r="A43" s="150" t="s">
        <v>38</v>
      </c>
      <c r="B43" s="151"/>
      <c r="C43" s="354" t="s">
        <v>510</v>
      </c>
      <c r="D43" s="152">
        <f>SUM(D8,D19,D26,D28,D36,D39)</f>
        <v>71618</v>
      </c>
      <c r="E43" s="152">
        <f>SUM(E8,E19,E26,E28,E36,E39)</f>
        <v>76312</v>
      </c>
      <c r="F43" s="152">
        <f>SUM(F8,F19,F26,F28,F32,F34,F36)</f>
        <v>98140</v>
      </c>
      <c r="G43" s="152">
        <f>F43/E43*100</f>
        <v>128.60362721459273</v>
      </c>
      <c r="I43" s="409">
        <f>SUM(D59-D43)</f>
        <v>0</v>
      </c>
    </row>
    <row r="44" spans="1:9" s="99" customFormat="1" ht="15" customHeight="1" thickBot="1" x14ac:dyDescent="0.25">
      <c r="A44" s="336"/>
      <c r="B44" s="336"/>
      <c r="C44" s="355"/>
      <c r="D44" s="388"/>
      <c r="E44" s="388"/>
      <c r="F44" s="388"/>
      <c r="G44" s="388"/>
    </row>
    <row r="45" spans="1:9" s="411" customFormat="1" ht="15" customHeight="1" thickBot="1" x14ac:dyDescent="0.25">
      <c r="A45" s="150"/>
      <c r="B45" s="151"/>
      <c r="C45" s="387" t="s">
        <v>82</v>
      </c>
      <c r="D45" s="152"/>
      <c r="E45" s="152"/>
      <c r="F45" s="152"/>
      <c r="G45" s="152"/>
    </row>
    <row r="46" spans="1:9" s="96" customFormat="1" ht="15" customHeight="1" x14ac:dyDescent="0.2">
      <c r="A46" s="93" t="s">
        <v>2</v>
      </c>
      <c r="B46" s="2"/>
      <c r="C46" s="1156" t="s">
        <v>49</v>
      </c>
      <c r="D46" s="141">
        <f>SUM(D47:D51)</f>
        <v>71618</v>
      </c>
      <c r="E46" s="141">
        <f t="shared" ref="E46:F46" si="3">SUM(E47:E51)</f>
        <v>75829</v>
      </c>
      <c r="F46" s="141">
        <f t="shared" si="3"/>
        <v>97780</v>
      </c>
      <c r="G46" s="141">
        <f>F46/E46*100</f>
        <v>128.94802779939073</v>
      </c>
    </row>
    <row r="47" spans="1:9" s="99" customFormat="1" ht="15" customHeight="1" x14ac:dyDescent="0.2">
      <c r="A47" s="113"/>
      <c r="B47" s="1165" t="s">
        <v>50</v>
      </c>
      <c r="C47" s="7" t="s">
        <v>51</v>
      </c>
      <c r="D47" s="147">
        <v>48655</v>
      </c>
      <c r="E47" s="147">
        <v>52043</v>
      </c>
      <c r="F47" s="147">
        <v>69200</v>
      </c>
      <c r="G47" s="147"/>
    </row>
    <row r="48" spans="1:9" s="99" customFormat="1" ht="15" customHeight="1" x14ac:dyDescent="0.2">
      <c r="A48" s="97"/>
      <c r="B48" s="1166" t="s">
        <v>52</v>
      </c>
      <c r="C48" s="3" t="s">
        <v>53</v>
      </c>
      <c r="D48" s="142">
        <v>13095</v>
      </c>
      <c r="E48" s="142">
        <v>14010</v>
      </c>
      <c r="F48" s="142">
        <v>19140</v>
      </c>
      <c r="G48" s="142"/>
    </row>
    <row r="49" spans="1:7" s="99" customFormat="1" ht="15" customHeight="1" x14ac:dyDescent="0.2">
      <c r="A49" s="97"/>
      <c r="B49" s="1166" t="s">
        <v>54</v>
      </c>
      <c r="C49" s="3" t="s">
        <v>55</v>
      </c>
      <c r="D49" s="142">
        <v>9868</v>
      </c>
      <c r="E49" s="142">
        <v>9776</v>
      </c>
      <c r="F49" s="142">
        <v>9440</v>
      </c>
      <c r="G49" s="142"/>
    </row>
    <row r="50" spans="1:7" s="99" customFormat="1" ht="15" customHeight="1" x14ac:dyDescent="0.2">
      <c r="A50" s="97"/>
      <c r="B50" s="1166" t="s">
        <v>56</v>
      </c>
      <c r="C50" s="3" t="s">
        <v>57</v>
      </c>
      <c r="D50" s="142"/>
      <c r="E50" s="142"/>
      <c r="F50" s="142">
        <v>0</v>
      </c>
      <c r="G50" s="142"/>
    </row>
    <row r="51" spans="1:7" s="99" customFormat="1" ht="15" customHeight="1" x14ac:dyDescent="0.2">
      <c r="A51" s="97"/>
      <c r="B51" s="1166" t="s">
        <v>227</v>
      </c>
      <c r="C51" s="3" t="s">
        <v>59</v>
      </c>
      <c r="D51" s="142"/>
      <c r="E51" s="142"/>
      <c r="F51" s="142">
        <v>0</v>
      </c>
      <c r="G51" s="142"/>
    </row>
    <row r="52" spans="1:7" s="99" customFormat="1" ht="15" customHeight="1" x14ac:dyDescent="0.2">
      <c r="A52" s="1139" t="s">
        <v>3</v>
      </c>
      <c r="B52" s="2"/>
      <c r="C52" s="1156" t="s">
        <v>1513</v>
      </c>
      <c r="D52" s="141"/>
      <c r="E52" s="141">
        <f>SUM(E53:E56)</f>
        <v>483</v>
      </c>
      <c r="F52" s="141">
        <f>SUM(F53:F56)</f>
        <v>360</v>
      </c>
      <c r="G52" s="141"/>
    </row>
    <row r="53" spans="1:7" s="96" customFormat="1" ht="15" customHeight="1" x14ac:dyDescent="0.2">
      <c r="A53" s="113"/>
      <c r="B53" s="1165" t="s">
        <v>4</v>
      </c>
      <c r="C53" s="1151" t="s">
        <v>1173</v>
      </c>
      <c r="D53" s="147"/>
      <c r="E53" s="147">
        <v>483</v>
      </c>
      <c r="F53" s="147">
        <v>360</v>
      </c>
      <c r="G53" s="147"/>
    </row>
    <row r="54" spans="1:7" s="99" customFormat="1" ht="15" customHeight="1" x14ac:dyDescent="0.2">
      <c r="A54" s="97"/>
      <c r="B54" s="1166" t="s">
        <v>6</v>
      </c>
      <c r="C54" s="1144" t="s">
        <v>64</v>
      </c>
      <c r="D54" s="142">
        <v>0</v>
      </c>
      <c r="E54" s="142">
        <v>0</v>
      </c>
      <c r="F54" s="142">
        <v>0</v>
      </c>
      <c r="G54" s="142"/>
    </row>
    <row r="55" spans="1:7" s="99" customFormat="1" ht="15.75" thickBot="1" x14ac:dyDescent="0.25">
      <c r="A55" s="97"/>
      <c r="B55" s="1166" t="s">
        <v>7</v>
      </c>
      <c r="C55" s="1144" t="s">
        <v>1500</v>
      </c>
      <c r="D55" s="142">
        <v>0</v>
      </c>
      <c r="E55" s="142">
        <v>0</v>
      </c>
      <c r="F55" s="142">
        <v>0</v>
      </c>
      <c r="G55" s="142"/>
    </row>
    <row r="56" spans="1:7" s="99" customFormat="1" ht="15" hidden="1" customHeight="1" x14ac:dyDescent="0.2">
      <c r="A56" s="97"/>
      <c r="B56" s="109" t="s">
        <v>11</v>
      </c>
      <c r="C56" s="3" t="s">
        <v>513</v>
      </c>
      <c r="D56" s="142">
        <v>0</v>
      </c>
      <c r="E56" s="142">
        <v>0</v>
      </c>
      <c r="F56" s="142">
        <v>0</v>
      </c>
      <c r="G56" s="142"/>
    </row>
    <row r="57" spans="1:7" s="99" customFormat="1" ht="15" hidden="1" customHeight="1" x14ac:dyDescent="0.2">
      <c r="A57" s="93" t="s">
        <v>12</v>
      </c>
      <c r="B57" s="2"/>
      <c r="C57" s="10" t="s">
        <v>514</v>
      </c>
      <c r="D57" s="119">
        <v>0</v>
      </c>
      <c r="E57" s="119">
        <v>0</v>
      </c>
      <c r="F57" s="119">
        <v>0</v>
      </c>
      <c r="G57" s="119"/>
    </row>
    <row r="58" spans="1:7" s="99" customFormat="1" ht="15" hidden="1" customHeight="1" x14ac:dyDescent="0.2">
      <c r="A58" s="93"/>
      <c r="B58" s="2"/>
      <c r="C58" s="10" t="s">
        <v>515</v>
      </c>
      <c r="D58" s="119"/>
      <c r="E58" s="119"/>
      <c r="F58" s="119"/>
      <c r="G58" s="119"/>
    </row>
    <row r="59" spans="1:7" s="99" customFormat="1" ht="15" customHeight="1" thickBot="1" x14ac:dyDescent="0.25">
      <c r="A59" s="150" t="s">
        <v>12</v>
      </c>
      <c r="B59" s="151"/>
      <c r="C59" s="354" t="s">
        <v>1501</v>
      </c>
      <c r="D59" s="152">
        <f>+D46+D52+D57</f>
        <v>71618</v>
      </c>
      <c r="E59" s="152">
        <f>+E46+E52+E57</f>
        <v>76312</v>
      </c>
      <c r="F59" s="152">
        <f>+F46+F52+F57+F58</f>
        <v>98140</v>
      </c>
      <c r="G59" s="152">
        <f>F59/E59*100</f>
        <v>128.60362721459273</v>
      </c>
    </row>
    <row r="60" spans="1:7" s="99" customFormat="1" ht="15" customHeight="1" thickBot="1" x14ac:dyDescent="0.25">
      <c r="A60" s="131"/>
      <c r="B60" s="132"/>
      <c r="C60" s="132"/>
      <c r="D60" s="132"/>
      <c r="E60" s="132"/>
      <c r="F60" s="132"/>
      <c r="G60" s="132"/>
    </row>
    <row r="61" spans="1:7" s="99" customFormat="1" ht="15" customHeight="1" x14ac:dyDescent="0.2">
      <c r="A61" s="133" t="s">
        <v>136</v>
      </c>
      <c r="B61" s="134"/>
      <c r="C61" s="135"/>
      <c r="D61" s="136">
        <v>24</v>
      </c>
      <c r="E61" s="136">
        <v>25</v>
      </c>
      <c r="F61" s="136">
        <v>27</v>
      </c>
      <c r="G61" s="136"/>
    </row>
    <row r="62" spans="1:7" s="99" customFormat="1" ht="15" customHeight="1" x14ac:dyDescent="0.2">
      <c r="A62" s="133" t="s">
        <v>137</v>
      </c>
      <c r="B62" s="134"/>
      <c r="C62" s="135"/>
      <c r="D62" s="356"/>
      <c r="E62" s="356"/>
      <c r="F62" s="356"/>
      <c r="G62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47244094488188981" right="0.39370078740157483" top="0.43307086614173229" bottom="0.39370078740157483" header="0.23622047244094491" footer="0.15748031496062992"/>
  <pageSetup paperSize="9" scale="80" firstPageNumber="74" orientation="portrait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62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33203125" style="76" customWidth="1"/>
    <col min="4" max="4" width="13.5" style="76" hidden="1" customWidth="1"/>
    <col min="5" max="5" width="15" style="76" hidden="1" customWidth="1"/>
    <col min="6" max="6" width="20" style="76" customWidth="1"/>
    <col min="7" max="7" width="10.33203125" style="76" hidden="1" customWidth="1"/>
    <col min="8" max="9" width="10.33203125" style="76" customWidth="1"/>
    <col min="10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1803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68967</v>
      </c>
      <c r="E19" s="141">
        <f t="shared" ref="E19:F19" si="1">SUM(E20:E25)</f>
        <v>70906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68967</v>
      </c>
      <c r="E20" s="142">
        <v>70906</v>
      </c>
      <c r="F20" s="142"/>
      <c r="G20" s="142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7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161</v>
      </c>
      <c r="F36" s="148">
        <f>SUM(F37:F39)</f>
        <v>98140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161</v>
      </c>
      <c r="F37" s="149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174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2651</v>
      </c>
      <c r="E39" s="119">
        <v>5245</v>
      </c>
      <c r="F39" s="142">
        <f>SUM(F40:F41)</f>
        <v>98140</v>
      </c>
      <c r="G39" s="119"/>
      <c r="I39" s="110">
        <f>SUM(F59-F43)</f>
        <v>0</v>
      </c>
    </row>
    <row r="40" spans="1:9" s="99" customFormat="1" ht="15" customHeight="1" thickBot="1" x14ac:dyDescent="0.25">
      <c r="A40" s="1408"/>
      <c r="B40" s="1413" t="s">
        <v>1777</v>
      </c>
      <c r="C40" s="1414" t="s">
        <v>1775</v>
      </c>
      <c r="D40" s="1224"/>
      <c r="E40" s="1224"/>
      <c r="F40" s="1416">
        <v>88221</v>
      </c>
      <c r="G40" s="1224"/>
      <c r="I40" s="110"/>
    </row>
    <row r="41" spans="1:9" s="99" customFormat="1" ht="15" customHeight="1" thickBot="1" x14ac:dyDescent="0.25">
      <c r="A41" s="1408"/>
      <c r="B41" s="1417" t="s">
        <v>1778</v>
      </c>
      <c r="C41" s="1418" t="s">
        <v>1776</v>
      </c>
      <c r="D41" s="1224"/>
      <c r="E41" s="1224"/>
      <c r="F41" s="1416">
        <v>9919</v>
      </c>
      <c r="G41" s="1224"/>
      <c r="I41" s="110"/>
    </row>
    <row r="42" spans="1:9" s="99" customFormat="1" ht="15" hidden="1" customHeight="1" thickBot="1" x14ac:dyDescent="0.3">
      <c r="A42" s="116"/>
      <c r="B42" s="117"/>
      <c r="C42" s="2" t="s">
        <v>542</v>
      </c>
      <c r="D42" s="119"/>
      <c r="E42" s="119"/>
      <c r="F42" s="119"/>
      <c r="G42" s="119"/>
    </row>
    <row r="43" spans="1:9" s="99" customFormat="1" ht="15" customHeight="1" thickBot="1" x14ac:dyDescent="0.25">
      <c r="A43" s="150" t="s">
        <v>38</v>
      </c>
      <c r="B43" s="151"/>
      <c r="C43" s="354" t="s">
        <v>510</v>
      </c>
      <c r="D43" s="152">
        <f>SUM(D8,D19,D26,D28,D36,D39)</f>
        <v>71618</v>
      </c>
      <c r="E43" s="152">
        <f>SUM(E8,E19,E26,E28,E36,E39)</f>
        <v>76312</v>
      </c>
      <c r="F43" s="152">
        <f>SUM(F8,F19,F26,F28,F32,F36)</f>
        <v>98140</v>
      </c>
      <c r="G43" s="152">
        <f>F43/E43*100</f>
        <v>128.60362721459273</v>
      </c>
      <c r="I43" s="409">
        <f>SUM(D59-D43)</f>
        <v>0</v>
      </c>
    </row>
    <row r="44" spans="1:9" s="99" customFormat="1" ht="15" customHeight="1" thickBot="1" x14ac:dyDescent="0.25">
      <c r="A44" s="336"/>
      <c r="B44" s="336"/>
      <c r="C44" s="355"/>
      <c r="D44" s="388"/>
      <c r="E44" s="388"/>
      <c r="F44" s="388"/>
      <c r="G44" s="388"/>
    </row>
    <row r="45" spans="1:9" s="411" customFormat="1" ht="15" customHeight="1" thickBot="1" x14ac:dyDescent="0.25">
      <c r="A45" s="150"/>
      <c r="B45" s="151"/>
      <c r="C45" s="387" t="s">
        <v>82</v>
      </c>
      <c r="D45" s="152"/>
      <c r="E45" s="152"/>
      <c r="F45" s="152"/>
      <c r="G45" s="152"/>
    </row>
    <row r="46" spans="1:9" s="96" customFormat="1" ht="15" customHeight="1" thickBot="1" x14ac:dyDescent="0.25">
      <c r="A46" s="1132" t="s">
        <v>2</v>
      </c>
      <c r="B46" s="2"/>
      <c r="C46" s="2" t="s">
        <v>49</v>
      </c>
      <c r="D46" s="141">
        <f>SUM(D47:D51)</f>
        <v>71618</v>
      </c>
      <c r="E46" s="141">
        <f t="shared" ref="E46:F46" si="3">SUM(E47:E51)</f>
        <v>75829</v>
      </c>
      <c r="F46" s="141">
        <f t="shared" si="3"/>
        <v>97780</v>
      </c>
      <c r="G46" s="141">
        <f>F46/E46*100</f>
        <v>128.94802779939073</v>
      </c>
    </row>
    <row r="47" spans="1:9" s="99" customFormat="1" ht="15" customHeight="1" x14ac:dyDescent="0.2">
      <c r="A47" s="113"/>
      <c r="B47" s="1165" t="s">
        <v>50</v>
      </c>
      <c r="C47" s="7" t="s">
        <v>51</v>
      </c>
      <c r="D47" s="147">
        <v>48655</v>
      </c>
      <c r="E47" s="147">
        <v>52043</v>
      </c>
      <c r="F47" s="147">
        <v>69200</v>
      </c>
      <c r="G47" s="147"/>
    </row>
    <row r="48" spans="1:9" s="99" customFormat="1" ht="15" customHeight="1" x14ac:dyDescent="0.2">
      <c r="A48" s="97"/>
      <c r="B48" s="1166" t="s">
        <v>52</v>
      </c>
      <c r="C48" s="3" t="s">
        <v>53</v>
      </c>
      <c r="D48" s="142">
        <v>13095</v>
      </c>
      <c r="E48" s="142">
        <v>14010</v>
      </c>
      <c r="F48" s="142">
        <v>19140</v>
      </c>
      <c r="G48" s="142"/>
    </row>
    <row r="49" spans="1:7" s="99" customFormat="1" ht="15" customHeight="1" x14ac:dyDescent="0.2">
      <c r="A49" s="97"/>
      <c r="B49" s="1166" t="s">
        <v>54</v>
      </c>
      <c r="C49" s="3" t="s">
        <v>55</v>
      </c>
      <c r="D49" s="142">
        <v>9868</v>
      </c>
      <c r="E49" s="142">
        <v>9776</v>
      </c>
      <c r="F49" s="142">
        <v>9440</v>
      </c>
      <c r="G49" s="142"/>
    </row>
    <row r="50" spans="1:7" s="99" customFormat="1" ht="15" customHeight="1" x14ac:dyDescent="0.2">
      <c r="A50" s="97"/>
      <c r="B50" s="1166" t="s">
        <v>56</v>
      </c>
      <c r="C50" s="3" t="s">
        <v>57</v>
      </c>
      <c r="D50" s="142"/>
      <c r="E50" s="142"/>
      <c r="F50" s="142">
        <v>0</v>
      </c>
      <c r="G50" s="142"/>
    </row>
    <row r="51" spans="1:7" s="99" customFormat="1" ht="15" customHeight="1" thickBot="1" x14ac:dyDescent="0.25">
      <c r="A51" s="97"/>
      <c r="B51" s="1166" t="s">
        <v>227</v>
      </c>
      <c r="C51" s="3" t="s">
        <v>59</v>
      </c>
      <c r="D51" s="142"/>
      <c r="E51" s="142"/>
      <c r="F51" s="142">
        <v>0</v>
      </c>
      <c r="G51" s="142"/>
    </row>
    <row r="52" spans="1:7" s="99" customFormat="1" ht="15" customHeight="1" thickBot="1" x14ac:dyDescent="0.25">
      <c r="A52" s="1139" t="s">
        <v>3</v>
      </c>
      <c r="B52" s="2"/>
      <c r="C52" s="1156" t="s">
        <v>1513</v>
      </c>
      <c r="D52" s="141"/>
      <c r="E52" s="141">
        <f>SUM(E53:E56)</f>
        <v>483</v>
      </c>
      <c r="F52" s="141">
        <f>SUM(F53:F56)</f>
        <v>360</v>
      </c>
      <c r="G52" s="141"/>
    </row>
    <row r="53" spans="1:7" s="96" customFormat="1" ht="15" customHeight="1" x14ac:dyDescent="0.2">
      <c r="A53" s="113"/>
      <c r="B53" s="1165" t="s">
        <v>4</v>
      </c>
      <c r="C53" s="1151" t="s">
        <v>1173</v>
      </c>
      <c r="D53" s="147"/>
      <c r="E53" s="147">
        <v>483</v>
      </c>
      <c r="F53" s="147">
        <v>360</v>
      </c>
      <c r="G53" s="147"/>
    </row>
    <row r="54" spans="1:7" s="99" customFormat="1" ht="15" customHeight="1" x14ac:dyDescent="0.2">
      <c r="A54" s="97"/>
      <c r="B54" s="1166" t="s">
        <v>6</v>
      </c>
      <c r="C54" s="1144" t="s">
        <v>64</v>
      </c>
      <c r="D54" s="142">
        <v>0</v>
      </c>
      <c r="E54" s="142">
        <v>0</v>
      </c>
      <c r="F54" s="142">
        <v>0</v>
      </c>
      <c r="G54" s="142"/>
    </row>
    <row r="55" spans="1:7" s="99" customFormat="1" ht="15.75" thickBot="1" x14ac:dyDescent="0.25">
      <c r="A55" s="97"/>
      <c r="B55" s="1166" t="s">
        <v>7</v>
      </c>
      <c r="C55" s="1144" t="s">
        <v>1500</v>
      </c>
      <c r="D55" s="142">
        <v>0</v>
      </c>
      <c r="E55" s="142">
        <v>0</v>
      </c>
      <c r="F55" s="142">
        <v>0</v>
      </c>
      <c r="G55" s="142"/>
    </row>
    <row r="56" spans="1:7" s="99" customFormat="1" ht="15" hidden="1" customHeight="1" thickBot="1" x14ac:dyDescent="0.25">
      <c r="A56" s="97"/>
      <c r="B56" s="109" t="s">
        <v>11</v>
      </c>
      <c r="C56" s="3" t="s">
        <v>513</v>
      </c>
      <c r="D56" s="142">
        <v>0</v>
      </c>
      <c r="E56" s="142">
        <v>0</v>
      </c>
      <c r="F56" s="142">
        <v>0</v>
      </c>
      <c r="G56" s="142"/>
    </row>
    <row r="57" spans="1:7" s="99" customFormat="1" ht="15" hidden="1" customHeight="1" thickBot="1" x14ac:dyDescent="0.25">
      <c r="A57" s="1132" t="s">
        <v>12</v>
      </c>
      <c r="B57" s="2"/>
      <c r="C57" s="10" t="s">
        <v>514</v>
      </c>
      <c r="D57" s="119">
        <v>0</v>
      </c>
      <c r="E57" s="119">
        <v>0</v>
      </c>
      <c r="F57" s="119">
        <v>0</v>
      </c>
      <c r="G57" s="119"/>
    </row>
    <row r="58" spans="1:7" s="99" customFormat="1" ht="15" hidden="1" customHeight="1" thickBot="1" x14ac:dyDescent="0.25">
      <c r="A58" s="1132"/>
      <c r="B58" s="2"/>
      <c r="C58" s="10" t="s">
        <v>515</v>
      </c>
      <c r="D58" s="119"/>
      <c r="E58" s="119"/>
      <c r="F58" s="119"/>
      <c r="G58" s="119"/>
    </row>
    <row r="59" spans="1:7" s="99" customFormat="1" ht="15" customHeight="1" thickBot="1" x14ac:dyDescent="0.25">
      <c r="A59" s="150" t="s">
        <v>12</v>
      </c>
      <c r="B59" s="151"/>
      <c r="C59" s="354" t="s">
        <v>1501</v>
      </c>
      <c r="D59" s="152">
        <f>+D46+D52+D57</f>
        <v>71618</v>
      </c>
      <c r="E59" s="152">
        <f>+E46+E52+E57</f>
        <v>76312</v>
      </c>
      <c r="F59" s="152">
        <f>+F46+F52+F57+F58</f>
        <v>98140</v>
      </c>
      <c r="G59" s="152">
        <f>F59/E59*100</f>
        <v>128.60362721459273</v>
      </c>
    </row>
    <row r="60" spans="1:7" s="99" customFormat="1" ht="15" customHeight="1" thickBot="1" x14ac:dyDescent="0.25">
      <c r="A60" s="131"/>
      <c r="B60" s="132"/>
      <c r="C60" s="132"/>
      <c r="D60" s="132"/>
      <c r="E60" s="132"/>
      <c r="F60" s="132"/>
      <c r="G60" s="132"/>
    </row>
    <row r="61" spans="1:7" s="99" customFormat="1" ht="15" customHeight="1" thickBot="1" x14ac:dyDescent="0.25">
      <c r="A61" s="133" t="s">
        <v>136</v>
      </c>
      <c r="B61" s="134"/>
      <c r="C61" s="135"/>
      <c r="D61" s="136">
        <v>24</v>
      </c>
      <c r="E61" s="136">
        <v>25</v>
      </c>
      <c r="F61" s="136">
        <v>27</v>
      </c>
      <c r="G61" s="136"/>
    </row>
    <row r="62" spans="1:7" s="99" customFormat="1" ht="15" customHeight="1" thickBot="1" x14ac:dyDescent="0.25">
      <c r="A62" s="133" t="s">
        <v>137</v>
      </c>
      <c r="B62" s="134"/>
      <c r="C62" s="135"/>
      <c r="D62" s="356"/>
      <c r="E62" s="356"/>
      <c r="F62" s="356"/>
      <c r="G62" s="356"/>
    </row>
  </sheetData>
  <sheetProtection selectLockedCells="1" selectUnlockedCells="1"/>
  <mergeCells count="7">
    <mergeCell ref="D1:G1"/>
    <mergeCell ref="A5:B5"/>
    <mergeCell ref="A2:B2"/>
    <mergeCell ref="D2:D3"/>
    <mergeCell ref="F2:F3"/>
    <mergeCell ref="A3:B3"/>
    <mergeCell ref="D4:F4"/>
  </mergeCells>
  <printOptions horizontalCentered="1"/>
  <pageMargins left="0.47244094488188981" right="0.39370078740157483" top="0.43307086614173229" bottom="0.39370078740157483" header="0.23622047244094491" footer="0.15748031496062992"/>
  <pageSetup paperSize="9" scale="80" firstPageNumber="74" orientation="portrait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60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33203125" style="76" customWidth="1"/>
    <col min="4" max="4" width="13.5" style="76" hidden="1" customWidth="1"/>
    <col min="5" max="5" width="15" style="76" hidden="1" customWidth="1"/>
    <col min="6" max="6" width="19.1640625" style="76" customWidth="1"/>
    <col min="7" max="7" width="10.33203125" style="76" hidden="1" customWidth="1"/>
    <col min="8" max="9" width="10.33203125" style="76" customWidth="1"/>
    <col min="10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1804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1511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68967</v>
      </c>
      <c r="E19" s="141">
        <f t="shared" ref="E19" si="1">SUM(E20:E25)</f>
        <v>70906</v>
      </c>
      <c r="F19" s="141">
        <f>SUM(F20:F25)</f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68967</v>
      </c>
      <c r="E20" s="142">
        <v>70906</v>
      </c>
      <c r="F20" s="142">
        <v>0</v>
      </c>
      <c r="G20" s="142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f>SUM(F27)</f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f>SUM(F29:F31)</f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f>SUM(F33:F33)</f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f>SUM(F35)</f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7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161</v>
      </c>
      <c r="F36" s="148">
        <f>SUM(F37:F39)</f>
        <v>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161</v>
      </c>
      <c r="F37" s="149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174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2651</v>
      </c>
      <c r="E39" s="119">
        <v>5245</v>
      </c>
      <c r="F39" s="142">
        <v>0</v>
      </c>
      <c r="G39" s="119"/>
      <c r="I39" s="110">
        <f>SUM(F57-F41)</f>
        <v>0</v>
      </c>
    </row>
    <row r="40" spans="1:9" s="99" customFormat="1" ht="15" hidden="1" customHeight="1" thickBot="1" x14ac:dyDescent="0.3">
      <c r="A40" s="116"/>
      <c r="B40" s="117"/>
      <c r="C40" s="2" t="s">
        <v>542</v>
      </c>
      <c r="D40" s="119"/>
      <c r="E40" s="119"/>
      <c r="F40" s="119"/>
      <c r="G40" s="119"/>
    </row>
    <row r="41" spans="1:9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SUM(D8,D19,D26,D28,D36,D39)</f>
        <v>71618</v>
      </c>
      <c r="E41" s="152">
        <f>SUM(E8,E19,E26,E28,E36,E39)</f>
        <v>76312</v>
      </c>
      <c r="F41" s="152">
        <f>SUM(F8,F19,F26,F28,F32,F34,F36)</f>
        <v>0</v>
      </c>
      <c r="G41" s="152">
        <f>F41/E41*100</f>
        <v>0</v>
      </c>
      <c r="I41" s="409">
        <f>SUM(D57-D41)</f>
        <v>0</v>
      </c>
    </row>
    <row r="42" spans="1:9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</row>
    <row r="43" spans="1:9" s="411" customFormat="1" ht="15" customHeight="1" thickBot="1" x14ac:dyDescent="0.25">
      <c r="A43" s="150"/>
      <c r="B43" s="151"/>
      <c r="C43" s="387" t="s">
        <v>82</v>
      </c>
      <c r="D43" s="152"/>
      <c r="E43" s="152"/>
      <c r="F43" s="152"/>
      <c r="G43" s="152"/>
    </row>
    <row r="44" spans="1:9" s="96" customFormat="1" ht="15" customHeight="1" thickBot="1" x14ac:dyDescent="0.25">
      <c r="A44" s="1132" t="s">
        <v>2</v>
      </c>
      <c r="B44" s="2"/>
      <c r="C44" s="2" t="s">
        <v>49</v>
      </c>
      <c r="D44" s="141">
        <f>SUM(D45:D49)</f>
        <v>71618</v>
      </c>
      <c r="E44" s="141">
        <f t="shared" ref="E44:F44" si="3">SUM(E45:E49)</f>
        <v>75829</v>
      </c>
      <c r="F44" s="141">
        <f t="shared" si="3"/>
        <v>0</v>
      </c>
      <c r="G44" s="141">
        <f>F44/E44*100</f>
        <v>0</v>
      </c>
    </row>
    <row r="45" spans="1:9" s="99" customFormat="1" ht="15" customHeight="1" x14ac:dyDescent="0.2">
      <c r="A45" s="113"/>
      <c r="B45" s="1165" t="s">
        <v>50</v>
      </c>
      <c r="C45" s="7" t="s">
        <v>51</v>
      </c>
      <c r="D45" s="147">
        <v>48655</v>
      </c>
      <c r="E45" s="147">
        <v>52043</v>
      </c>
      <c r="F45" s="147">
        <v>0</v>
      </c>
      <c r="G45" s="147"/>
    </row>
    <row r="46" spans="1:9" s="99" customFormat="1" ht="15" customHeight="1" x14ac:dyDescent="0.2">
      <c r="A46" s="97"/>
      <c r="B46" s="1166" t="s">
        <v>52</v>
      </c>
      <c r="C46" s="3" t="s">
        <v>53</v>
      </c>
      <c r="D46" s="142">
        <v>13095</v>
      </c>
      <c r="E46" s="142">
        <v>14010</v>
      </c>
      <c r="F46" s="142">
        <v>0</v>
      </c>
      <c r="G46" s="142"/>
    </row>
    <row r="47" spans="1:9" s="99" customFormat="1" ht="15" customHeight="1" x14ac:dyDescent="0.2">
      <c r="A47" s="97"/>
      <c r="B47" s="1166" t="s">
        <v>54</v>
      </c>
      <c r="C47" s="3" t="s">
        <v>55</v>
      </c>
      <c r="D47" s="142">
        <v>9868</v>
      </c>
      <c r="E47" s="142">
        <v>9776</v>
      </c>
      <c r="F47" s="142">
        <v>0</v>
      </c>
      <c r="G47" s="142"/>
    </row>
    <row r="48" spans="1:9" s="99" customFormat="1" ht="15" customHeight="1" x14ac:dyDescent="0.2">
      <c r="A48" s="97"/>
      <c r="B48" s="1166" t="s">
        <v>56</v>
      </c>
      <c r="C48" s="3" t="s">
        <v>57</v>
      </c>
      <c r="D48" s="142"/>
      <c r="E48" s="142"/>
      <c r="F48" s="142">
        <v>0</v>
      </c>
      <c r="G48" s="142"/>
    </row>
    <row r="49" spans="1:7" s="99" customFormat="1" ht="15" customHeight="1" thickBot="1" x14ac:dyDescent="0.25">
      <c r="A49" s="97"/>
      <c r="B49" s="1166" t="s">
        <v>227</v>
      </c>
      <c r="C49" s="3" t="s">
        <v>59</v>
      </c>
      <c r="D49" s="142"/>
      <c r="E49" s="142"/>
      <c r="F49" s="142">
        <v>0</v>
      </c>
      <c r="G49" s="142"/>
    </row>
    <row r="50" spans="1:7" s="99" customFormat="1" ht="15" customHeight="1" thickBot="1" x14ac:dyDescent="0.25">
      <c r="A50" s="1139" t="s">
        <v>3</v>
      </c>
      <c r="B50" s="2"/>
      <c r="C50" s="1156" t="s">
        <v>1513</v>
      </c>
      <c r="D50" s="141"/>
      <c r="E50" s="141">
        <f>SUM(E51:E54)</f>
        <v>483</v>
      </c>
      <c r="F50" s="141">
        <f>SUM(F51:F54)</f>
        <v>0</v>
      </c>
      <c r="G50" s="141"/>
    </row>
    <row r="51" spans="1:7" s="96" customFormat="1" ht="15" customHeight="1" x14ac:dyDescent="0.2">
      <c r="A51" s="113"/>
      <c r="B51" s="1165" t="s">
        <v>4</v>
      </c>
      <c r="C51" s="1151" t="s">
        <v>1173</v>
      </c>
      <c r="D51" s="147"/>
      <c r="E51" s="147">
        <v>483</v>
      </c>
      <c r="F51" s="147">
        <v>0</v>
      </c>
      <c r="G51" s="147"/>
    </row>
    <row r="52" spans="1:7" s="99" customFormat="1" ht="15" customHeight="1" x14ac:dyDescent="0.2">
      <c r="A52" s="97"/>
      <c r="B52" s="1166" t="s">
        <v>6</v>
      </c>
      <c r="C52" s="1144" t="s">
        <v>64</v>
      </c>
      <c r="D52" s="142">
        <v>0</v>
      </c>
      <c r="E52" s="142">
        <v>0</v>
      </c>
      <c r="F52" s="142">
        <v>0</v>
      </c>
      <c r="G52" s="142"/>
    </row>
    <row r="53" spans="1:7" s="99" customFormat="1" ht="15.75" thickBot="1" x14ac:dyDescent="0.25">
      <c r="A53" s="97"/>
      <c r="B53" s="1166" t="s">
        <v>7</v>
      </c>
      <c r="C53" s="1144" t="s">
        <v>1500</v>
      </c>
      <c r="D53" s="142">
        <v>0</v>
      </c>
      <c r="E53" s="142">
        <v>0</v>
      </c>
      <c r="F53" s="142">
        <v>0</v>
      </c>
      <c r="G53" s="142"/>
    </row>
    <row r="54" spans="1:7" s="99" customFormat="1" ht="15" hidden="1" customHeight="1" thickBot="1" x14ac:dyDescent="0.25">
      <c r="A54" s="97"/>
      <c r="B54" s="109" t="s">
        <v>11</v>
      </c>
      <c r="C54" s="3" t="s">
        <v>513</v>
      </c>
      <c r="D54" s="142">
        <v>0</v>
      </c>
      <c r="E54" s="142">
        <v>0</v>
      </c>
      <c r="F54" s="142">
        <v>0</v>
      </c>
      <c r="G54" s="142"/>
    </row>
    <row r="55" spans="1:7" s="99" customFormat="1" ht="15" hidden="1" customHeight="1" thickBot="1" x14ac:dyDescent="0.25">
      <c r="A55" s="1132" t="s">
        <v>12</v>
      </c>
      <c r="B55" s="2"/>
      <c r="C55" s="10" t="s">
        <v>514</v>
      </c>
      <c r="D55" s="119">
        <v>0</v>
      </c>
      <c r="E55" s="119">
        <v>0</v>
      </c>
      <c r="F55" s="119">
        <v>0</v>
      </c>
      <c r="G55" s="119"/>
    </row>
    <row r="56" spans="1:7" s="99" customFormat="1" ht="15" hidden="1" customHeight="1" thickBot="1" x14ac:dyDescent="0.25">
      <c r="A56" s="1132"/>
      <c r="B56" s="2"/>
      <c r="C56" s="10" t="s">
        <v>515</v>
      </c>
      <c r="D56" s="119"/>
      <c r="E56" s="119"/>
      <c r="F56" s="119"/>
      <c r="G56" s="119"/>
    </row>
    <row r="57" spans="1:7" s="99" customFormat="1" ht="15" customHeight="1" thickBot="1" x14ac:dyDescent="0.25">
      <c r="A57" s="150" t="s">
        <v>12</v>
      </c>
      <c r="B57" s="151"/>
      <c r="C57" s="354" t="s">
        <v>1501</v>
      </c>
      <c r="D57" s="152">
        <f>+D44+D50+D55</f>
        <v>71618</v>
      </c>
      <c r="E57" s="152">
        <f>+E44+E50+E55</f>
        <v>76312</v>
      </c>
      <c r="F57" s="152">
        <f>+F44+F50+F55+F56</f>
        <v>0</v>
      </c>
      <c r="G57" s="152">
        <f>F57/E57*100</f>
        <v>0</v>
      </c>
    </row>
    <row r="58" spans="1:7" s="99" customFormat="1" ht="15" customHeight="1" thickBot="1" x14ac:dyDescent="0.25">
      <c r="A58" s="131"/>
      <c r="B58" s="132"/>
      <c r="C58" s="132"/>
      <c r="D58" s="132"/>
      <c r="E58" s="132"/>
      <c r="F58" s="132"/>
      <c r="G58" s="132"/>
    </row>
    <row r="59" spans="1:7" s="99" customFormat="1" ht="15" customHeight="1" thickBot="1" x14ac:dyDescent="0.25">
      <c r="A59" s="133" t="s">
        <v>136</v>
      </c>
      <c r="B59" s="134"/>
      <c r="C59" s="135"/>
      <c r="D59" s="136">
        <v>24</v>
      </c>
      <c r="E59" s="136">
        <v>25</v>
      </c>
      <c r="F59" s="136"/>
      <c r="G59" s="136"/>
    </row>
    <row r="60" spans="1:7" s="99" customFormat="1" ht="15" customHeight="1" thickBot="1" x14ac:dyDescent="0.25">
      <c r="A60" s="133" t="s">
        <v>137</v>
      </c>
      <c r="B60" s="134"/>
      <c r="C60" s="135"/>
      <c r="D60" s="356"/>
      <c r="E60" s="356"/>
      <c r="F60" s="356"/>
      <c r="G60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47244094488188981" right="0.39370078740157483" top="0.43307086614173229" bottom="0.39370078740157483" header="0.23622047244094491" footer="0.15748031496062992"/>
  <pageSetup paperSize="9" scale="80" firstPageNumber="74" orientation="portrait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60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3.33203125" style="76" customWidth="1"/>
    <col min="4" max="4" width="13.5" style="76" hidden="1" customWidth="1"/>
    <col min="5" max="5" width="15" style="76" hidden="1" customWidth="1"/>
    <col min="6" max="6" width="18.83203125" style="76" customWidth="1"/>
    <col min="7" max="7" width="10.33203125" style="76" hidden="1" customWidth="1"/>
    <col min="8" max="9" width="10.33203125" style="76" customWidth="1"/>
    <col min="10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1805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1509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68967</v>
      </c>
      <c r="E19" s="141">
        <f t="shared" ref="E19:F19" si="1">SUM(E20:E25)</f>
        <v>70906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68967</v>
      </c>
      <c r="E20" s="142">
        <v>70906</v>
      </c>
      <c r="F20" s="142">
        <v>0</v>
      </c>
      <c r="G20" s="142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f>SUM(F33:F33)</f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f>SUM(F35)</f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1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161</v>
      </c>
      <c r="F36" s="148">
        <f>SUM(F37:F39)</f>
        <v>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161</v>
      </c>
      <c r="F37" s="149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2651</v>
      </c>
      <c r="E39" s="119">
        <v>5245</v>
      </c>
      <c r="F39" s="142">
        <v>0</v>
      </c>
      <c r="G39" s="119"/>
      <c r="I39" s="110">
        <f>SUM(F57-F41)</f>
        <v>0</v>
      </c>
    </row>
    <row r="40" spans="1:9" s="99" customFormat="1" ht="15" hidden="1" customHeight="1" thickBot="1" x14ac:dyDescent="0.3">
      <c r="A40" s="116"/>
      <c r="B40" s="117"/>
      <c r="C40" s="2" t="s">
        <v>542</v>
      </c>
      <c r="D40" s="119"/>
      <c r="E40" s="119"/>
      <c r="F40" s="119"/>
      <c r="G40" s="119"/>
    </row>
    <row r="41" spans="1:9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SUM(D8,D19,D26,D28,D36,D39)</f>
        <v>71618</v>
      </c>
      <c r="E41" s="152">
        <f>SUM(E8,E19,E26,E28,E36,E39)</f>
        <v>76312</v>
      </c>
      <c r="F41" s="152">
        <f>SUM(F8,F19,F26,F28,F36,F39,F40)</f>
        <v>0</v>
      </c>
      <c r="G41" s="152">
        <f>F41/E41*100</f>
        <v>0</v>
      </c>
      <c r="I41" s="409">
        <f>SUM(D57-D41)</f>
        <v>0</v>
      </c>
    </row>
    <row r="42" spans="1:9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</row>
    <row r="43" spans="1:9" s="411" customFormat="1" ht="15" customHeight="1" thickBot="1" x14ac:dyDescent="0.25">
      <c r="A43" s="150"/>
      <c r="B43" s="151"/>
      <c r="C43" s="387" t="s">
        <v>82</v>
      </c>
      <c r="D43" s="152"/>
      <c r="E43" s="152"/>
      <c r="F43" s="152"/>
      <c r="G43" s="152"/>
    </row>
    <row r="44" spans="1:9" s="96" customFormat="1" ht="15" customHeight="1" thickBot="1" x14ac:dyDescent="0.25">
      <c r="A44" s="1132" t="s">
        <v>2</v>
      </c>
      <c r="B44" s="2"/>
      <c r="C44" s="2" t="s">
        <v>49</v>
      </c>
      <c r="D44" s="141">
        <f>SUM(D45:D49)</f>
        <v>71618</v>
      </c>
      <c r="E44" s="141">
        <f t="shared" ref="E44:F44" si="3">SUM(E45:E49)</f>
        <v>75829</v>
      </c>
      <c r="F44" s="141">
        <f t="shared" si="3"/>
        <v>0</v>
      </c>
      <c r="G44" s="141">
        <f>F44/E44*100</f>
        <v>0</v>
      </c>
    </row>
    <row r="45" spans="1:9" s="99" customFormat="1" ht="15" customHeight="1" x14ac:dyDescent="0.2">
      <c r="A45" s="113"/>
      <c r="B45" s="1165" t="s">
        <v>50</v>
      </c>
      <c r="C45" s="7" t="s">
        <v>51</v>
      </c>
      <c r="D45" s="147">
        <v>48655</v>
      </c>
      <c r="E45" s="147">
        <v>52043</v>
      </c>
      <c r="F45" s="147">
        <v>0</v>
      </c>
      <c r="G45" s="147"/>
    </row>
    <row r="46" spans="1:9" s="99" customFormat="1" ht="15" customHeight="1" x14ac:dyDescent="0.2">
      <c r="A46" s="97"/>
      <c r="B46" s="1166" t="s">
        <v>52</v>
      </c>
      <c r="C46" s="3" t="s">
        <v>53</v>
      </c>
      <c r="D46" s="142">
        <v>13095</v>
      </c>
      <c r="E46" s="142">
        <v>14010</v>
      </c>
      <c r="F46" s="142">
        <v>0</v>
      </c>
      <c r="G46" s="142"/>
    </row>
    <row r="47" spans="1:9" s="99" customFormat="1" ht="15" customHeight="1" x14ac:dyDescent="0.2">
      <c r="A47" s="97"/>
      <c r="B47" s="1166" t="s">
        <v>54</v>
      </c>
      <c r="C47" s="3" t="s">
        <v>55</v>
      </c>
      <c r="D47" s="142">
        <v>9868</v>
      </c>
      <c r="E47" s="142">
        <v>9776</v>
      </c>
      <c r="F47" s="142">
        <v>0</v>
      </c>
      <c r="G47" s="142"/>
    </row>
    <row r="48" spans="1:9" s="99" customFormat="1" ht="15" customHeight="1" x14ac:dyDescent="0.2">
      <c r="A48" s="97"/>
      <c r="B48" s="1166" t="s">
        <v>56</v>
      </c>
      <c r="C48" s="3" t="s">
        <v>57</v>
      </c>
      <c r="D48" s="142"/>
      <c r="E48" s="142"/>
      <c r="F48" s="142">
        <v>0</v>
      </c>
      <c r="G48" s="142"/>
    </row>
    <row r="49" spans="1:7" s="99" customFormat="1" ht="15" customHeight="1" thickBot="1" x14ac:dyDescent="0.25">
      <c r="A49" s="97"/>
      <c r="B49" s="1166" t="s">
        <v>227</v>
      </c>
      <c r="C49" s="3" t="s">
        <v>59</v>
      </c>
      <c r="D49" s="142"/>
      <c r="E49" s="142"/>
      <c r="F49" s="142">
        <v>0</v>
      </c>
      <c r="G49" s="142"/>
    </row>
    <row r="50" spans="1:7" s="99" customFormat="1" ht="15" customHeight="1" thickBot="1" x14ac:dyDescent="0.25">
      <c r="A50" s="1139" t="s">
        <v>3</v>
      </c>
      <c r="B50" s="2"/>
      <c r="C50" s="1156" t="s">
        <v>1513</v>
      </c>
      <c r="D50" s="141"/>
      <c r="E50" s="141">
        <f>SUM(E51:E54)</f>
        <v>483</v>
      </c>
      <c r="F50" s="141">
        <f>SUM(F51:F53)</f>
        <v>0</v>
      </c>
      <c r="G50" s="141"/>
    </row>
    <row r="51" spans="1:7" s="96" customFormat="1" ht="15" customHeight="1" x14ac:dyDescent="0.2">
      <c r="A51" s="113"/>
      <c r="B51" s="1165" t="s">
        <v>4</v>
      </c>
      <c r="C51" s="1151" t="s">
        <v>1173</v>
      </c>
      <c r="D51" s="147"/>
      <c r="E51" s="147">
        <v>483</v>
      </c>
      <c r="F51" s="147">
        <v>0</v>
      </c>
      <c r="G51" s="147"/>
    </row>
    <row r="52" spans="1:7" s="99" customFormat="1" ht="15" customHeight="1" x14ac:dyDescent="0.2">
      <c r="A52" s="97"/>
      <c r="B52" s="1166" t="s">
        <v>6</v>
      </c>
      <c r="C52" s="1144" t="s">
        <v>64</v>
      </c>
      <c r="D52" s="142">
        <v>0</v>
      </c>
      <c r="E52" s="142">
        <v>0</v>
      </c>
      <c r="F52" s="142">
        <v>0</v>
      </c>
      <c r="G52" s="142"/>
    </row>
    <row r="53" spans="1:7" s="99" customFormat="1" ht="15.75" thickBot="1" x14ac:dyDescent="0.25">
      <c r="A53" s="97"/>
      <c r="B53" s="1166" t="s">
        <v>7</v>
      </c>
      <c r="C53" s="1144" t="s">
        <v>1500</v>
      </c>
      <c r="D53" s="142">
        <v>0</v>
      </c>
      <c r="E53" s="142">
        <v>0</v>
      </c>
      <c r="F53" s="142">
        <v>0</v>
      </c>
      <c r="G53" s="142"/>
    </row>
    <row r="54" spans="1:7" s="99" customFormat="1" ht="15" hidden="1" customHeight="1" thickBot="1" x14ac:dyDescent="0.25">
      <c r="A54" s="97"/>
      <c r="B54" s="109" t="s">
        <v>11</v>
      </c>
      <c r="C54" s="3" t="s">
        <v>513</v>
      </c>
      <c r="D54" s="142">
        <v>0</v>
      </c>
      <c r="E54" s="142">
        <v>0</v>
      </c>
      <c r="F54" s="142">
        <v>0</v>
      </c>
      <c r="G54" s="142"/>
    </row>
    <row r="55" spans="1:7" s="99" customFormat="1" ht="15" hidden="1" customHeight="1" thickBot="1" x14ac:dyDescent="0.25">
      <c r="A55" s="1132" t="s">
        <v>12</v>
      </c>
      <c r="B55" s="2"/>
      <c r="C55" s="10" t="s">
        <v>514</v>
      </c>
      <c r="D55" s="119">
        <v>0</v>
      </c>
      <c r="E55" s="119">
        <v>0</v>
      </c>
      <c r="F55" s="119">
        <v>0</v>
      </c>
      <c r="G55" s="119"/>
    </row>
    <row r="56" spans="1:7" s="99" customFormat="1" ht="15" hidden="1" customHeight="1" thickBot="1" x14ac:dyDescent="0.25">
      <c r="A56" s="1132"/>
      <c r="B56" s="2"/>
      <c r="C56" s="10" t="s">
        <v>515</v>
      </c>
      <c r="D56" s="119"/>
      <c r="E56" s="119"/>
      <c r="F56" s="119"/>
      <c r="G56" s="119"/>
    </row>
    <row r="57" spans="1:7" s="99" customFormat="1" ht="15" customHeight="1" thickBot="1" x14ac:dyDescent="0.25">
      <c r="A57" s="150" t="s">
        <v>12</v>
      </c>
      <c r="B57" s="151"/>
      <c r="C57" s="354" t="s">
        <v>1501</v>
      </c>
      <c r="D57" s="152">
        <f>+D44+D50+D55</f>
        <v>71618</v>
      </c>
      <c r="E57" s="152">
        <f>+E44+E50+E55</f>
        <v>76312</v>
      </c>
      <c r="F57" s="152">
        <f>+F44+F50+F55+F56</f>
        <v>0</v>
      </c>
      <c r="G57" s="152">
        <f>F57/E57*100</f>
        <v>0</v>
      </c>
    </row>
    <row r="58" spans="1:7" s="99" customFormat="1" ht="15" customHeight="1" thickBot="1" x14ac:dyDescent="0.25">
      <c r="A58" s="131"/>
      <c r="B58" s="132"/>
      <c r="C58" s="132"/>
      <c r="D58" s="132"/>
      <c r="E58" s="132"/>
      <c r="F58" s="132"/>
      <c r="G58" s="132"/>
    </row>
    <row r="59" spans="1:7" s="99" customFormat="1" ht="15" customHeight="1" thickBot="1" x14ac:dyDescent="0.25">
      <c r="A59" s="133" t="s">
        <v>136</v>
      </c>
      <c r="B59" s="134"/>
      <c r="C59" s="135"/>
      <c r="D59" s="136">
        <v>24</v>
      </c>
      <c r="E59" s="136">
        <v>25</v>
      </c>
      <c r="F59" s="136"/>
      <c r="G59" s="136"/>
    </row>
    <row r="60" spans="1:7" s="99" customFormat="1" ht="15" customHeight="1" thickBot="1" x14ac:dyDescent="0.25">
      <c r="A60" s="133" t="s">
        <v>137</v>
      </c>
      <c r="B60" s="134"/>
      <c r="C60" s="135"/>
      <c r="D60" s="356"/>
      <c r="E60" s="356"/>
      <c r="F60" s="356"/>
      <c r="G60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47244094488188981" right="0.39370078740157483" top="0.43307086614173229" bottom="0.39370078740157483" header="0.23622047244094491" footer="0.15748031496062992"/>
  <pageSetup paperSize="9" scale="80" firstPageNumber="74" orientation="portrait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8"/>
  <sheetViews>
    <sheetView view="pageBreakPreview" topLeftCell="A38" zoomScaleNormal="130" zoomScaleSheetLayoutView="100" workbookViewId="0">
      <selection activeCell="F81" sqref="F81"/>
    </sheetView>
  </sheetViews>
  <sheetFormatPr defaultRowHeight="15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5.1640625" style="76" customWidth="1"/>
    <col min="10" max="10" width="14" style="76" customWidth="1"/>
    <col min="11" max="11" width="18.6640625" style="389" customWidth="1"/>
    <col min="12" max="16384" width="9.33203125" style="76"/>
  </cols>
  <sheetData>
    <row r="1" spans="1:11" s="79" customFormat="1" ht="33.75" customHeight="1" thickBot="1" x14ac:dyDescent="0.25">
      <c r="A1" s="1521" t="s">
        <v>120</v>
      </c>
      <c r="B1" s="1522"/>
      <c r="C1" s="77" t="s">
        <v>121</v>
      </c>
      <c r="D1" s="1523" t="s">
        <v>1024</v>
      </c>
      <c r="E1" s="343"/>
      <c r="F1" s="1523" t="s">
        <v>1420</v>
      </c>
      <c r="G1" s="1231"/>
    </row>
    <row r="2" spans="1:11" s="79" customFormat="1" ht="33.75" customHeight="1" thickBot="1" x14ac:dyDescent="0.25">
      <c r="A2" s="1525" t="s">
        <v>122</v>
      </c>
      <c r="B2" s="1526"/>
      <c r="C2" s="1231" t="s">
        <v>123</v>
      </c>
      <c r="D2" s="1524"/>
      <c r="E2" s="327"/>
      <c r="F2" s="1524"/>
      <c r="G2" s="137"/>
    </row>
    <row r="3" spans="1:11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  <c r="K3" s="79"/>
    </row>
    <row r="4" spans="1:11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1" s="89" customFormat="1" ht="15" customHeight="1" thickBot="1" x14ac:dyDescent="0.25">
      <c r="A5" s="1232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1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1" s="89" customFormat="1" ht="31.5" customHeight="1" thickBot="1" x14ac:dyDescent="0.25">
      <c r="A7" s="1233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2957910</v>
      </c>
      <c r="G7" s="141">
        <f>F7/E7*100</f>
        <v>160.74200069559168</v>
      </c>
      <c r="I7" s="1135">
        <f t="shared" ref="I7:I70" si="1">SUM(F7-K7)</f>
        <v>0</v>
      </c>
      <c r="J7" s="1135"/>
      <c r="K7" s="1407">
        <f>SUM('2.a sz. mell'!F7+'2.b sz. mell'!F7+'2.c sz. mell '!F7)</f>
        <v>2957910</v>
      </c>
    </row>
    <row r="8" spans="1:11" s="96" customFormat="1" ht="19.5" customHeight="1" thickBot="1" x14ac:dyDescent="0.25">
      <c r="A8" s="1233" t="s">
        <v>3</v>
      </c>
      <c r="B8" s="140"/>
      <c r="C8" s="368" t="s">
        <v>85</v>
      </c>
      <c r="D8" s="141">
        <f>SUM(D9:D14)</f>
        <v>1625000</v>
      </c>
      <c r="E8" s="141">
        <f t="shared" ref="E8" si="2">SUM(E9:E14)</f>
        <v>1685336</v>
      </c>
      <c r="F8" s="141">
        <f>SUM('3.1.asz.melléklet'!G29)</f>
        <v>1610000</v>
      </c>
      <c r="G8" s="141">
        <f t="shared" ref="G8:G46" si="3">F8/E8*100</f>
        <v>95.529912136214975</v>
      </c>
      <c r="I8" s="1135">
        <f t="shared" si="1"/>
        <v>0</v>
      </c>
      <c r="J8" s="1135"/>
      <c r="K8" s="1407">
        <f>SUM('2.a sz. mell'!F8+'2.b sz. mell'!F8+'2.c sz. mell '!F8)</f>
        <v>1610000</v>
      </c>
    </row>
    <row r="9" spans="1:11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3"/>
        <v>0</v>
      </c>
      <c r="I9" s="1135">
        <f t="shared" si="1"/>
        <v>0</v>
      </c>
      <c r="J9" s="1135"/>
      <c r="K9" s="1407">
        <f>SUM('2.a sz. mell'!F9+'2.b sz. mell'!F9+'2.c sz. mell '!F9)</f>
        <v>0</v>
      </c>
    </row>
    <row r="10" spans="1:11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>
        <f t="shared" si="1"/>
        <v>0</v>
      </c>
      <c r="J10" s="1135"/>
      <c r="K10" s="1407">
        <f>SUM('2.a sz. mell'!F10+'2.b sz. mell'!F10+'2.c sz. mell '!F10)</f>
        <v>0</v>
      </c>
    </row>
    <row r="11" spans="1:11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>
        <f>SUM('3.1.asz.melléklet'!G46)</f>
        <v>0</v>
      </c>
      <c r="G11" s="142">
        <f t="shared" si="3"/>
        <v>0</v>
      </c>
      <c r="I11" s="1135">
        <f t="shared" si="1"/>
        <v>0</v>
      </c>
      <c r="J11" s="1135"/>
      <c r="K11" s="1407">
        <f>SUM('2.a sz. mell'!F11+'2.b sz. mell'!F11+'2.c sz. mell '!F11)</f>
        <v>0</v>
      </c>
    </row>
    <row r="12" spans="1:11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>
        <f>SUM('3.1.asz.melléklet'!G44+'3.1.asz.melléklet'!G51)</f>
        <v>0</v>
      </c>
      <c r="G12" s="142">
        <f t="shared" si="3"/>
        <v>0</v>
      </c>
      <c r="I12" s="1135">
        <f t="shared" si="1"/>
        <v>0</v>
      </c>
      <c r="J12" s="1135"/>
      <c r="K12" s="1407">
        <f>SUM('2.a sz. mell'!F12+'2.b sz. mell'!F12+'2.c sz. mell '!F12)</f>
        <v>0</v>
      </c>
    </row>
    <row r="13" spans="1:11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>
        <f t="shared" si="1"/>
        <v>0</v>
      </c>
      <c r="J13" s="1135"/>
      <c r="K13" s="1407">
        <f>SUM('2.a sz. mell'!F13+'2.b sz. mell'!F13+'2.c sz. mell '!F13)</f>
        <v>0</v>
      </c>
    </row>
    <row r="14" spans="1:11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>
        <f t="shared" si="1"/>
        <v>0</v>
      </c>
      <c r="J14" s="1135"/>
      <c r="K14" s="1407">
        <f>SUM('2.a sz. mell'!F14+'2.b sz. mell'!F14+'2.c sz. mell '!F14)</f>
        <v>0</v>
      </c>
    </row>
    <row r="15" spans="1:11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>
        <f t="shared" si="1"/>
        <v>0</v>
      </c>
      <c r="J15" s="1135"/>
      <c r="K15" s="1407">
        <f>SUM('2.a sz. mell'!F15+'2.b sz. mell'!F15+'2.c sz. mell '!F15)</f>
        <v>0</v>
      </c>
    </row>
    <row r="16" spans="1:11" s="96" customFormat="1" ht="18.75" customHeight="1" thickBot="1" x14ac:dyDescent="0.25">
      <c r="A16" s="1233" t="s">
        <v>12</v>
      </c>
      <c r="B16" s="94"/>
      <c r="C16" s="368" t="s">
        <v>1626</v>
      </c>
      <c r="D16" s="141">
        <f>SUM(D17:D24)</f>
        <v>77679</v>
      </c>
      <c r="E16" s="141">
        <f t="shared" ref="E16" si="4">SUM(E17:E24)</f>
        <v>154824</v>
      </c>
      <c r="F16" s="141">
        <f>SUM('3.1.asz.melléklet'!G4+'4. sz. mell.'!F8+'5. sz. mell. '!F8)</f>
        <v>356590</v>
      </c>
      <c r="G16" s="141">
        <f t="shared" si="3"/>
        <v>230.31958869425927</v>
      </c>
      <c r="I16" s="1135">
        <f t="shared" si="1"/>
        <v>0</v>
      </c>
      <c r="J16" s="1135"/>
      <c r="K16" s="1407">
        <f>SUM('2.a sz. mell'!F16+'2.b sz. mell'!F16+'2.c sz. mell '!F16)</f>
        <v>356590</v>
      </c>
    </row>
    <row r="17" spans="1:11" s="96" customFormat="1" ht="15" hidden="1" customHeight="1" x14ac:dyDescent="0.2">
      <c r="A17" s="1234"/>
      <c r="B17" s="98"/>
      <c r="C17" s="375"/>
      <c r="D17" s="144"/>
      <c r="E17" s="144"/>
      <c r="F17" s="144"/>
      <c r="G17" s="144"/>
      <c r="I17" s="1135">
        <f t="shared" si="1"/>
        <v>0</v>
      </c>
      <c r="J17" s="1135"/>
      <c r="K17" s="1407">
        <f>SUM('2.a sz. mell'!F17+'2.b sz. mell'!F17+'2.c sz. mell '!F17)</f>
        <v>0</v>
      </c>
    </row>
    <row r="18" spans="1:11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2">
        <f>SUM('3.1.asz.melléklet'!G7+'3.1.asz.melléklet'!G28)</f>
        <v>0</v>
      </c>
      <c r="G18" s="142">
        <f t="shared" si="3"/>
        <v>0</v>
      </c>
      <c r="I18" s="1135">
        <f t="shared" si="1"/>
        <v>0</v>
      </c>
      <c r="J18" s="1135"/>
      <c r="K18" s="1407">
        <f>SUM('2.a sz. mell'!F18+'2.b sz. mell'!F18+'2.c sz. mell '!F18)</f>
        <v>0</v>
      </c>
    </row>
    <row r="19" spans="1:11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2"/>
      <c r="G19" s="142">
        <f t="shared" si="3"/>
        <v>0</v>
      </c>
      <c r="I19" s="1135">
        <f t="shared" si="1"/>
        <v>0</v>
      </c>
      <c r="J19" s="1135"/>
      <c r="K19" s="1407">
        <f>SUM('2.a sz. mell'!F19+'2.b sz. mell'!F19+'2.c sz. mell '!F19)</f>
        <v>0</v>
      </c>
    </row>
    <row r="20" spans="1:11" s="96" customFormat="1" ht="15" hidden="1" customHeight="1" x14ac:dyDescent="0.2">
      <c r="A20" s="97"/>
      <c r="B20" s="98"/>
      <c r="C20" s="375"/>
      <c r="D20" s="142"/>
      <c r="E20" s="142"/>
      <c r="F20" s="142"/>
      <c r="G20" s="142"/>
      <c r="I20" s="1135">
        <f t="shared" si="1"/>
        <v>0</v>
      </c>
      <c r="J20" s="1135"/>
      <c r="K20" s="1407">
        <f>SUM('2.a sz. mell'!F20+'2.b sz. mell'!F20+'2.c sz. mell '!F20)</f>
        <v>0</v>
      </c>
    </row>
    <row r="21" spans="1:11" s="96" customFormat="1" ht="15" hidden="1" customHeight="1" x14ac:dyDescent="0.2">
      <c r="A21" s="97"/>
      <c r="B21" s="98"/>
      <c r="C21" s="375"/>
      <c r="D21" s="142"/>
      <c r="E21" s="142"/>
      <c r="F21" s="142"/>
      <c r="G21" s="142"/>
      <c r="I21" s="1135">
        <f t="shared" si="1"/>
        <v>0</v>
      </c>
      <c r="J21" s="1135"/>
      <c r="K21" s="1407">
        <f>SUM('2.a sz. mell'!F21+'2.b sz. mell'!F21+'2.c sz. mell '!F21)</f>
        <v>0</v>
      </c>
    </row>
    <row r="22" spans="1:11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3"/>
      <c r="G22" s="143">
        <f t="shared" si="3"/>
        <v>0</v>
      </c>
      <c r="I22" s="1135">
        <f t="shared" si="1"/>
        <v>0</v>
      </c>
      <c r="J22" s="1135"/>
      <c r="K22" s="1407">
        <f>SUM('2.a sz. mell'!F22+'2.b sz. mell'!F22+'2.c sz. mell '!F22)</f>
        <v>0</v>
      </c>
    </row>
    <row r="23" spans="1:11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2"/>
      <c r="G23" s="142">
        <f t="shared" si="3"/>
        <v>0</v>
      </c>
      <c r="I23" s="1135">
        <f t="shared" si="1"/>
        <v>0</v>
      </c>
      <c r="J23" s="1135"/>
      <c r="K23" s="1407">
        <f>SUM('2.a sz. mell'!F23+'2.b sz. mell'!F23+'2.c sz. mell '!F23)</f>
        <v>0</v>
      </c>
    </row>
    <row r="24" spans="1:11" s="99" customFormat="1" ht="15" hidden="1" customHeight="1" thickBot="1" x14ac:dyDescent="0.25">
      <c r="A24" s="104"/>
      <c r="B24" s="105"/>
      <c r="C24" s="375"/>
      <c r="D24" s="145"/>
      <c r="E24" s="145"/>
      <c r="F24" s="145"/>
      <c r="G24" s="145"/>
      <c r="I24" s="1135">
        <f t="shared" si="1"/>
        <v>0</v>
      </c>
      <c r="J24" s="1135"/>
      <c r="K24" s="1407">
        <f>SUM('2.a sz. mell'!F24+'2.b sz. mell'!F24+'2.c sz. mell '!F24)</f>
        <v>0</v>
      </c>
    </row>
    <row r="25" spans="1:11" s="99" customFormat="1" ht="15" hidden="1" customHeight="1" x14ac:dyDescent="0.2">
      <c r="A25" s="1233"/>
      <c r="B25" s="106"/>
      <c r="C25" s="368"/>
      <c r="D25" s="119"/>
      <c r="E25" s="119"/>
      <c r="F25" s="119"/>
      <c r="G25" s="141" t="e">
        <f t="shared" si="3"/>
        <v>#DIV/0!</v>
      </c>
      <c r="I25" s="1135">
        <f t="shared" si="1"/>
        <v>0</v>
      </c>
      <c r="J25" s="1135"/>
      <c r="K25" s="1407">
        <f>SUM('2.a sz. mell'!F25+'2.b sz. mell'!F25+'2.c sz. mell '!F25)</f>
        <v>0</v>
      </c>
    </row>
    <row r="26" spans="1:11" s="96" customFormat="1" ht="21" customHeight="1" thickBot="1" x14ac:dyDescent="0.25">
      <c r="A26" s="1233" t="s">
        <v>68</v>
      </c>
      <c r="B26" s="94"/>
      <c r="C26" s="368" t="s">
        <v>1614</v>
      </c>
      <c r="D26" s="141">
        <f>SUM(D28:D33)</f>
        <v>0</v>
      </c>
      <c r="E26" s="141">
        <f>SUM(E28:E33)</f>
        <v>0</v>
      </c>
      <c r="F26" s="141">
        <f>SUM('3.1.asz.melléklet'!G56+'4. sz. mell.'!F20+'5. sz. mell. '!F19)</f>
        <v>991320</v>
      </c>
      <c r="G26" s="141" t="e">
        <f t="shared" si="3"/>
        <v>#DIV/0!</v>
      </c>
      <c r="I26" s="1135">
        <f t="shared" si="1"/>
        <v>0</v>
      </c>
      <c r="J26" s="1135"/>
      <c r="K26" s="1407">
        <f>SUM('2.a sz. mell'!F26+'2.b sz. mell'!F26+'2.c sz. mell '!F26)</f>
        <v>991320</v>
      </c>
    </row>
    <row r="27" spans="1:11" s="96" customFormat="1" ht="21" customHeight="1" thickBot="1" x14ac:dyDescent="0.25">
      <c r="A27" s="1308" t="s">
        <v>27</v>
      </c>
      <c r="B27" s="1366"/>
      <c r="C27" s="1303" t="s">
        <v>1170</v>
      </c>
      <c r="D27" s="1367"/>
      <c r="E27" s="1367"/>
      <c r="F27" s="1368">
        <v>0</v>
      </c>
      <c r="G27" s="1367"/>
      <c r="I27" s="1135">
        <f t="shared" si="1"/>
        <v>0</v>
      </c>
      <c r="J27" s="1135"/>
      <c r="K27" s="1407">
        <f>SUM('2.a sz. mell'!F27+'2.b sz. mell'!F27+'2.c sz. mell '!F27)</f>
        <v>0</v>
      </c>
    </row>
    <row r="28" spans="1:11" s="99" customFormat="1" ht="30.75" customHeight="1" thickBot="1" x14ac:dyDescent="0.25">
      <c r="A28" s="1308" t="s">
        <v>32</v>
      </c>
      <c r="B28" s="98"/>
      <c r="C28" s="1291" t="s">
        <v>1617</v>
      </c>
      <c r="D28" s="142"/>
      <c r="E28" s="142"/>
      <c r="F28" s="1293">
        <f>SUM(F29:F31)</f>
        <v>251000</v>
      </c>
      <c r="G28" s="142" t="e">
        <f t="shared" si="3"/>
        <v>#DIV/0!</v>
      </c>
      <c r="I28" s="1135">
        <f t="shared" si="1"/>
        <v>0</v>
      </c>
      <c r="J28" s="1135"/>
      <c r="K28" s="1407">
        <f>SUM('2.a sz. mell'!F28+'2.b sz. mell'!F28+'2.c sz. mell '!F28)</f>
        <v>251000</v>
      </c>
    </row>
    <row r="29" spans="1:11" s="99" customFormat="1" ht="18.75" customHeight="1" thickBot="1" x14ac:dyDescent="0.25">
      <c r="A29" s="1308" t="s">
        <v>74</v>
      </c>
      <c r="B29" s="98"/>
      <c r="C29" s="368" t="s">
        <v>1587</v>
      </c>
      <c r="D29" s="142"/>
      <c r="E29" s="142"/>
      <c r="F29" s="141">
        <f>SUM('3.1.asz.melléklet'!G110)</f>
        <v>250000</v>
      </c>
      <c r="G29" s="142" t="e">
        <f t="shared" si="3"/>
        <v>#DIV/0!</v>
      </c>
      <c r="I29" s="1135">
        <f t="shared" si="1"/>
        <v>0</v>
      </c>
      <c r="J29" s="1135"/>
      <c r="K29" s="1407">
        <f>SUM('2.a sz. mell'!F29+'2.b sz. mell'!F29+'2.c sz. mell '!F29)</f>
        <v>250000</v>
      </c>
    </row>
    <row r="30" spans="1:11" s="99" customFormat="1" ht="18.75" customHeight="1" thickBot="1" x14ac:dyDescent="0.25">
      <c r="A30" s="1308" t="s">
        <v>38</v>
      </c>
      <c r="B30" s="98"/>
      <c r="C30" s="368" t="s">
        <v>1618</v>
      </c>
      <c r="D30" s="142"/>
      <c r="E30" s="142"/>
      <c r="F30" s="141">
        <f>SUM('3.1.asz.melléklet'!G132)</f>
        <v>0</v>
      </c>
      <c r="G30" s="142" t="e">
        <f t="shared" si="3"/>
        <v>#DIV/0!</v>
      </c>
      <c r="I30" s="1135">
        <f t="shared" si="1"/>
        <v>0</v>
      </c>
      <c r="J30" s="1135"/>
      <c r="K30" s="1407">
        <f>SUM('2.a sz. mell'!F30+'2.b sz. mell'!F30+'2.c sz. mell '!F30)</f>
        <v>0</v>
      </c>
    </row>
    <row r="31" spans="1:11" s="99" customFormat="1" ht="18.75" customHeight="1" thickBot="1" x14ac:dyDescent="0.25">
      <c r="A31" s="1308" t="s">
        <v>88</v>
      </c>
      <c r="B31" s="98"/>
      <c r="C31" s="368" t="s">
        <v>1171</v>
      </c>
      <c r="D31" s="142"/>
      <c r="E31" s="142"/>
      <c r="F31" s="141">
        <f>SUM('3.1.asz.melléklet'!G135)</f>
        <v>1000</v>
      </c>
      <c r="G31" s="142"/>
      <c r="I31" s="1135">
        <f t="shared" si="1"/>
        <v>0</v>
      </c>
      <c r="J31" s="1135"/>
      <c r="K31" s="1407">
        <f>SUM('2.a sz. mell'!F31+'2.b sz. mell'!F31+'2.c sz. mell '!F31)</f>
        <v>1000</v>
      </c>
    </row>
    <row r="32" spans="1:11" s="99" customFormat="1" ht="21.75" customHeight="1" thickBot="1" x14ac:dyDescent="0.25">
      <c r="A32" s="1308" t="s">
        <v>41</v>
      </c>
      <c r="B32" s="98"/>
      <c r="C32" s="1291" t="s">
        <v>1619</v>
      </c>
      <c r="D32" s="142"/>
      <c r="E32" s="142"/>
      <c r="F32" s="1293">
        <f>SUM(F33)</f>
        <v>1356523</v>
      </c>
      <c r="G32" s="142"/>
      <c r="I32" s="1135">
        <f t="shared" si="1"/>
        <v>0</v>
      </c>
      <c r="J32" s="1135"/>
      <c r="K32" s="1407">
        <f>SUM('2.a sz. mell'!F32+'2.b sz. mell'!F32+'2.c sz. mell '!F32)</f>
        <v>1356523</v>
      </c>
    </row>
    <row r="33" spans="1:11" s="99" customFormat="1" ht="16.5" customHeight="1" thickBot="1" x14ac:dyDescent="0.25">
      <c r="A33" s="1308" t="s">
        <v>42</v>
      </c>
      <c r="B33" s="98"/>
      <c r="C33" s="368" t="s">
        <v>1595</v>
      </c>
      <c r="D33" s="142"/>
      <c r="E33" s="142"/>
      <c r="F33" s="141">
        <f>SUM(F34:F35)</f>
        <v>1356523</v>
      </c>
      <c r="G33" s="142"/>
      <c r="I33" s="1135">
        <f t="shared" si="1"/>
        <v>0</v>
      </c>
      <c r="J33" s="1135"/>
      <c r="K33" s="1407">
        <f>SUM('2.a sz. mell'!F33+'2.b sz. mell'!F33+'2.c sz. mell '!F33)</f>
        <v>1356523</v>
      </c>
    </row>
    <row r="34" spans="1:11" s="99" customFormat="1" ht="16.5" customHeight="1" thickBot="1" x14ac:dyDescent="0.25">
      <c r="A34" s="1308" t="s">
        <v>45</v>
      </c>
      <c r="B34" s="101"/>
      <c r="C34" s="1305" t="s">
        <v>1606</v>
      </c>
      <c r="D34" s="143"/>
      <c r="E34" s="143"/>
      <c r="F34" s="143"/>
      <c r="G34" s="143"/>
      <c r="I34" s="1135">
        <f t="shared" si="1"/>
        <v>0</v>
      </c>
      <c r="J34" s="1135"/>
      <c r="K34" s="1407">
        <f>SUM('2.a sz. mell'!F34+'2.b sz. mell'!F34+'2.c sz. mell '!F34)</f>
        <v>0</v>
      </c>
    </row>
    <row r="35" spans="1:11" s="99" customFormat="1" ht="16.5" customHeight="1" thickBot="1" x14ac:dyDescent="0.25">
      <c r="A35" s="1308" t="s">
        <v>46</v>
      </c>
      <c r="B35" s="101"/>
      <c r="C35" s="1305" t="s">
        <v>1628</v>
      </c>
      <c r="D35" s="143"/>
      <c r="E35" s="143"/>
      <c r="F35" s="143">
        <f>SUM('5. sz. mell. '!F39+'4. sz. mell.'!F39)</f>
        <v>1356523</v>
      </c>
      <c r="G35" s="143"/>
      <c r="I35" s="1135">
        <f t="shared" si="1"/>
        <v>0</v>
      </c>
      <c r="J35" s="1135"/>
      <c r="K35" s="1407">
        <f>SUM('2.a sz. mell'!F35+'2.b sz. mell'!F35+'2.c sz. mell '!F35)</f>
        <v>1356523</v>
      </c>
    </row>
    <row r="36" spans="1:11" s="99" customFormat="1" ht="16.5" customHeight="1" thickBot="1" x14ac:dyDescent="0.25">
      <c r="A36" s="1308" t="s">
        <v>47</v>
      </c>
      <c r="B36" s="101"/>
      <c r="C36" s="1304" t="s">
        <v>599</v>
      </c>
      <c r="D36" s="143"/>
      <c r="E36" s="143"/>
      <c r="F36" s="1406">
        <f>SUM(F7+F28+F32)</f>
        <v>4565433</v>
      </c>
      <c r="G36" s="143"/>
      <c r="I36" s="1135">
        <f t="shared" si="1"/>
        <v>0</v>
      </c>
      <c r="J36" s="1135"/>
      <c r="K36" s="1407">
        <f>SUM('2.a sz. mell'!F36+'2.b sz. mell'!F36+'2.c sz. mell '!F36)</f>
        <v>4565433</v>
      </c>
    </row>
    <row r="37" spans="1:11" s="99" customFormat="1" ht="16.5" customHeight="1" thickBot="1" x14ac:dyDescent="0.25">
      <c r="A37" s="1308" t="s">
        <v>91</v>
      </c>
      <c r="B37" s="101"/>
      <c r="C37" s="1303" t="s">
        <v>1624</v>
      </c>
      <c r="D37" s="143"/>
      <c r="E37" s="143"/>
      <c r="F37" s="141">
        <f>SUM('3. sz. mell'!F69)</f>
        <v>1356523</v>
      </c>
      <c r="G37" s="143"/>
      <c r="I37" s="1135">
        <f t="shared" si="1"/>
        <v>0</v>
      </c>
      <c r="J37" s="1135"/>
      <c r="K37" s="1407">
        <f>SUM('2.a sz. mell'!F37+'2.b sz. mell'!F37+'2.c sz. mell '!F37)</f>
        <v>1356523</v>
      </c>
    </row>
    <row r="38" spans="1:11" s="99" customFormat="1" ht="21" customHeight="1" thickBot="1" x14ac:dyDescent="0.25">
      <c r="A38" s="1308" t="s">
        <v>92</v>
      </c>
      <c r="B38" s="151"/>
      <c r="C38" s="9" t="s">
        <v>1627</v>
      </c>
      <c r="D38" s="152" t="e">
        <f>+#REF!+#REF!+#REF!</f>
        <v>#REF!</v>
      </c>
      <c r="E38" s="152" t="e">
        <f>+#REF!+#REF!+#REF!</f>
        <v>#REF!</v>
      </c>
      <c r="F38" s="152">
        <f>SUM(F7+F28+F32-F37)</f>
        <v>3208910</v>
      </c>
      <c r="G38" s="152" t="e">
        <f t="shared" si="3"/>
        <v>#REF!</v>
      </c>
      <c r="I38" s="1135">
        <f t="shared" si="1"/>
        <v>0</v>
      </c>
      <c r="J38" s="1135"/>
      <c r="K38" s="1407">
        <f>SUM('2.a sz. mell'!F38+'2.b sz. mell'!F38+'2.c sz. mell '!F38)</f>
        <v>3208910</v>
      </c>
    </row>
    <row r="39" spans="1:11" s="99" customFormat="1" ht="15" customHeight="1" thickBot="1" x14ac:dyDescent="0.25">
      <c r="A39" s="153"/>
      <c r="B39" s="153"/>
      <c r="C39" s="154"/>
      <c r="D39" s="155"/>
      <c r="E39" s="155"/>
      <c r="F39" s="155"/>
      <c r="G39" s="155"/>
      <c r="I39" s="1135">
        <f t="shared" si="1"/>
        <v>0</v>
      </c>
      <c r="J39" s="1135"/>
      <c r="K39" s="1407">
        <f>SUM('2.a sz. mell'!F39+'2.b sz. mell'!F39+'2.c sz. mell '!F39)</f>
        <v>0</v>
      </c>
    </row>
    <row r="40" spans="1:11" s="89" customFormat="1" ht="20.25" customHeight="1" thickBot="1" x14ac:dyDescent="0.25">
      <c r="A40" s="156"/>
      <c r="B40" s="157"/>
      <c r="C40" s="121" t="s">
        <v>82</v>
      </c>
      <c r="D40" s="122"/>
      <c r="E40" s="122"/>
      <c r="F40" s="122"/>
      <c r="G40" s="122"/>
      <c r="I40" s="1135">
        <f t="shared" si="1"/>
        <v>0</v>
      </c>
      <c r="J40" s="1135"/>
      <c r="K40" s="1407">
        <f>SUM('2.a sz. mell'!F40+'2.b sz. mell'!F40+'2.c sz. mell '!F40)</f>
        <v>0</v>
      </c>
    </row>
    <row r="41" spans="1:11" s="125" customFormat="1" ht="15" customHeight="1" thickBot="1" x14ac:dyDescent="0.25">
      <c r="A41" s="1233" t="s">
        <v>2</v>
      </c>
      <c r="B41" s="2"/>
      <c r="C41" s="10" t="s">
        <v>1620</v>
      </c>
      <c r="D41" s="141">
        <f>SUM(D42:D46)+D55</f>
        <v>873535</v>
      </c>
      <c r="E41" s="141">
        <f t="shared" ref="E41" si="5">SUM(E42:E46)+E55</f>
        <v>1045962</v>
      </c>
      <c r="F41" s="141">
        <f>SUM(F42:F46)</f>
        <v>2943339</v>
      </c>
      <c r="G41" s="141">
        <f t="shared" si="3"/>
        <v>281.40018471034318</v>
      </c>
      <c r="I41" s="1135">
        <f t="shared" si="1"/>
        <v>0</v>
      </c>
      <c r="J41" s="1135"/>
      <c r="K41" s="1407">
        <f>SUM('2.a sz. mell'!F41+'2.b sz. mell'!F41+'2.c sz. mell '!F41)</f>
        <v>2943339</v>
      </c>
    </row>
    <row r="42" spans="1:11" ht="15" customHeight="1" x14ac:dyDescent="0.2">
      <c r="A42" s="113"/>
      <c r="B42" s="124" t="s">
        <v>50</v>
      </c>
      <c r="C42" s="3" t="s">
        <v>51</v>
      </c>
      <c r="D42" s="147">
        <f>SUM('3.2.sz.melléklet'!E173+'3.2.sz.melléklet'!E191+'3.2.sz.melléklet'!E196+'3.2.sz.melléklet'!E216)</f>
        <v>16170</v>
      </c>
      <c r="E42" s="147">
        <f>SUM('3.2.sz.melléklet'!F173+'3.2.sz.melléklet'!F191+'3.2.sz.melléklet'!F196+'3.2.sz.melléklet'!F216)</f>
        <v>49543</v>
      </c>
      <c r="F42" s="147">
        <f>SUM('3.2.sz.melléklet'!G173+'3.2.sz.melléklet'!G191+'3.2.sz.melléklet'!G196+'3.2.sz.melléklet'!G216)+'4. sz. mell.'!F47+'5. sz. mell. '!F47</f>
        <v>980939</v>
      </c>
      <c r="G42" s="147">
        <f t="shared" si="3"/>
        <v>1979.9749712371072</v>
      </c>
      <c r="I42" s="1135">
        <f t="shared" si="1"/>
        <v>0</v>
      </c>
      <c r="J42" s="1135"/>
      <c r="K42" s="1407">
        <f>SUM('2.a sz. mell'!F42+'2.b sz. mell'!F42+'2.c sz. mell '!F42)</f>
        <v>980939</v>
      </c>
    </row>
    <row r="43" spans="1:11" ht="15" customHeight="1" x14ac:dyDescent="0.2">
      <c r="A43" s="97"/>
      <c r="B43" s="109" t="s">
        <v>52</v>
      </c>
      <c r="C43" s="3" t="s">
        <v>53</v>
      </c>
      <c r="D43" s="142">
        <f>SUM('3.2.sz.melléklet'!E7+'3.2.sz.melléklet'!E174+'3.2.sz.melléklet'!E192+'3.2.sz.melléklet'!E197+'3.2.sz.melléklet'!E217)</f>
        <v>10003</v>
      </c>
      <c r="E43" s="142">
        <f>SUM('3.2.sz.melléklet'!F7+'3.2.sz.melléklet'!F174+'3.2.sz.melléklet'!F192+'3.2.sz.melléklet'!F197+'3.2.sz.melléklet'!F217)</f>
        <v>17364</v>
      </c>
      <c r="F43" s="142">
        <f>SUM('3.2.sz.melléklet'!G7+'3.2.sz.melléklet'!G174+'3.2.sz.melléklet'!G192+'3.2.sz.melléklet'!G197+'3.2.sz.melléklet'!G217)+'4. sz. mell.'!F48+'5. sz. mell. '!F48</f>
        <v>269286</v>
      </c>
      <c r="G43" s="142">
        <f t="shared" si="3"/>
        <v>1550.8293020041465</v>
      </c>
      <c r="I43" s="1135">
        <f t="shared" si="1"/>
        <v>0</v>
      </c>
      <c r="J43" s="1135"/>
      <c r="K43" s="1407">
        <f>SUM('2.a sz. mell'!F43+'2.b sz. mell'!F43+'2.c sz. mell '!F43)</f>
        <v>269286</v>
      </c>
    </row>
    <row r="44" spans="1:11" ht="15" customHeight="1" x14ac:dyDescent="0.2">
      <c r="A44" s="97"/>
      <c r="B44" s="109" t="s">
        <v>54</v>
      </c>
      <c r="C44" s="3" t="s">
        <v>55</v>
      </c>
      <c r="D44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44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44" s="142">
        <f>SUM('3.2.sz.melléklet'!G15+'3.2.sz.melléklet'!G16+'3.2.sz.melléklet'!G19+'3.2.sz.melléklet'!G175+'3.2.sz.melléklet'!G184+'3.2.sz.melléklet'!G193+'3.2.sz.melléklet'!G198+'3.2.sz.melléklet'!G201+'3.2.sz.melléklet'!G203+'3.2.sz.melléklet'!G205+'3.2.sz.melléklet'!G214+'3.2.sz.melléklet'!G218+'3.2.sz.melléklet'!G18)+'3.2.sz.melléklet'!G17+'4. sz. mell.'!F49+'5. sz. mell. '!F49+'3.2.sz.melléklet'!G21</f>
        <v>1358173</v>
      </c>
      <c r="G44" s="142">
        <f t="shared" si="3"/>
        <v>179.87354831532397</v>
      </c>
      <c r="I44" s="1135">
        <f t="shared" si="1"/>
        <v>0</v>
      </c>
      <c r="J44" s="1135"/>
      <c r="K44" s="1407">
        <f>SUM('2.a sz. mell'!F44+'2.b sz. mell'!F44+'2.c sz. mell '!F44)</f>
        <v>1358173</v>
      </c>
    </row>
    <row r="45" spans="1:11" ht="15" customHeight="1" x14ac:dyDescent="0.2">
      <c r="A45" s="97"/>
      <c r="B45" s="109" t="s">
        <v>56</v>
      </c>
      <c r="C45" s="3" t="s">
        <v>57</v>
      </c>
      <c r="D45" s="142">
        <f>SUM('3.2.sz.melléklet'!E116)</f>
        <v>17000</v>
      </c>
      <c r="E45" s="142">
        <f>SUM('3.2.sz.melléklet'!F116)</f>
        <v>17000</v>
      </c>
      <c r="F45" s="142">
        <f>SUM('3.2.sz.melléklet'!G116)+'4. sz. mell.'!F50</f>
        <v>40000</v>
      </c>
      <c r="G45" s="142">
        <f t="shared" si="3"/>
        <v>235.29411764705884</v>
      </c>
      <c r="I45" s="1135">
        <f t="shared" si="1"/>
        <v>0</v>
      </c>
      <c r="J45" s="1135"/>
      <c r="K45" s="1407">
        <f>SUM('2.a sz. mell'!F45+'2.b sz. mell'!F45+'2.c sz. mell '!F45)</f>
        <v>40000</v>
      </c>
    </row>
    <row r="46" spans="1:11" ht="15" customHeight="1" x14ac:dyDescent="0.2">
      <c r="A46" s="97"/>
      <c r="B46" s="109" t="s">
        <v>58</v>
      </c>
      <c r="C46" s="3" t="s">
        <v>59</v>
      </c>
      <c r="D46" s="142">
        <f>SUM(D47:D54)</f>
        <v>133646</v>
      </c>
      <c r="E46" s="142">
        <f>SUM(E47:E54)</f>
        <v>193789</v>
      </c>
      <c r="F46" s="142">
        <f>SUM(F47:F54)</f>
        <v>294941</v>
      </c>
      <c r="G46" s="142">
        <f t="shared" si="3"/>
        <v>152.19697712460462</v>
      </c>
      <c r="I46" s="1135">
        <f t="shared" si="1"/>
        <v>0</v>
      </c>
      <c r="J46" s="1135"/>
      <c r="K46" s="1407">
        <f>SUM('2.a sz. mell'!F46+'2.b sz. mell'!F46+'2.c sz. mell '!F46)</f>
        <v>294941</v>
      </c>
    </row>
    <row r="47" spans="1:11" ht="15" customHeight="1" x14ac:dyDescent="0.2">
      <c r="A47" s="97"/>
      <c r="B47" s="109" t="s">
        <v>60</v>
      </c>
      <c r="C47" s="158" t="s">
        <v>1428</v>
      </c>
      <c r="D47" s="142"/>
      <c r="E47" s="142"/>
      <c r="F47" s="142">
        <f>SUM('3.2.sz.melléklet'!G27)</f>
        <v>99285</v>
      </c>
      <c r="G47" s="142"/>
      <c r="I47" s="1135">
        <f t="shared" si="1"/>
        <v>0</v>
      </c>
      <c r="J47" s="1135"/>
      <c r="K47" s="1407">
        <f>SUM('2.a sz. mell'!F47+'2.b sz. mell'!F47+'2.c sz. mell '!F47)</f>
        <v>99285</v>
      </c>
    </row>
    <row r="48" spans="1:11" ht="15" customHeight="1" x14ac:dyDescent="0.2">
      <c r="A48" s="97"/>
      <c r="B48" s="109" t="s">
        <v>61</v>
      </c>
      <c r="C48" s="158" t="s">
        <v>1548</v>
      </c>
      <c r="D48" s="142"/>
      <c r="E48" s="142"/>
      <c r="F48" s="142">
        <f>SUM('3.2.sz.melléklet'!G41)</f>
        <v>89231</v>
      </c>
      <c r="G48" s="142"/>
      <c r="I48" s="1135">
        <f t="shared" si="1"/>
        <v>0</v>
      </c>
      <c r="J48" s="1135"/>
      <c r="K48" s="1407">
        <f>SUM('2.a sz. mell'!F48+'2.b sz. mell'!F48+'2.c sz. mell '!F48)</f>
        <v>89231</v>
      </c>
    </row>
    <row r="49" spans="1:15" ht="15" customHeight="1" thickBot="1" x14ac:dyDescent="0.25">
      <c r="A49" s="97"/>
      <c r="B49" s="109" t="s">
        <v>139</v>
      </c>
      <c r="C49" s="158" t="s">
        <v>87</v>
      </c>
      <c r="D49" s="142"/>
      <c r="E49" s="142"/>
      <c r="F49" s="142">
        <f>SUM('3.2.sz.melléklet'!G122)</f>
        <v>106425</v>
      </c>
      <c r="G49" s="142"/>
      <c r="I49" s="1135">
        <f t="shared" si="1"/>
        <v>0</v>
      </c>
      <c r="J49" s="1135"/>
      <c r="K49" s="1407">
        <f>SUM('2.a sz. mell'!F49+'2.b sz. mell'!F49+'2.c sz. mell '!F49)</f>
        <v>106425</v>
      </c>
    </row>
    <row r="50" spans="1:15" ht="15" hidden="1" customHeight="1" x14ac:dyDescent="0.2">
      <c r="A50" s="97"/>
      <c r="B50" s="109"/>
      <c r="C50" s="158"/>
      <c r="D50" s="142">
        <f>SUM('3.2.sz.melléklet'!E41)</f>
        <v>101646</v>
      </c>
      <c r="E50" s="142">
        <f>SUM('3.2.sz.melléklet'!F41)-'3.2.sz.melléklet'!F60-'3.2.sz.melléklet'!F61</f>
        <v>151236</v>
      </c>
      <c r="F50" s="142"/>
      <c r="G50" s="142">
        <f t="shared" ref="G50:G77" si="6">F50/E50*100</f>
        <v>0</v>
      </c>
      <c r="I50" s="1135">
        <f t="shared" si="1"/>
        <v>0</v>
      </c>
      <c r="J50" s="1135"/>
      <c r="K50" s="1407">
        <f>SUM('2.a sz. mell'!F50+'2.b sz. mell'!F50+'2.c sz. mell '!F50)</f>
        <v>0</v>
      </c>
    </row>
    <row r="51" spans="1:15" ht="15" hidden="1" customHeight="1" x14ac:dyDescent="0.2">
      <c r="A51" s="97"/>
      <c r="B51" s="109"/>
      <c r="C51" s="158"/>
      <c r="D51" s="142"/>
      <c r="E51" s="142">
        <f>'3.2.sz.melléklet'!F27+'3.2.sz.melléklet'!F60+'3.2.sz.melléklet'!F61</f>
        <v>10553</v>
      </c>
      <c r="F51" s="142"/>
      <c r="G51" s="142">
        <f t="shared" si="6"/>
        <v>0</v>
      </c>
      <c r="I51" s="1135">
        <f t="shared" si="1"/>
        <v>0</v>
      </c>
      <c r="J51" s="1135"/>
      <c r="K51" s="1407">
        <f>SUM('2.a sz. mell'!F51+'2.b sz. mell'!F51+'2.c sz. mell '!F51)</f>
        <v>0</v>
      </c>
    </row>
    <row r="52" spans="1:15" ht="15" hidden="1" customHeight="1" x14ac:dyDescent="0.2">
      <c r="A52" s="97"/>
      <c r="B52" s="109"/>
      <c r="C52" s="158"/>
      <c r="D52" s="142"/>
      <c r="E52" s="142"/>
      <c r="F52" s="142"/>
      <c r="G52" s="142"/>
      <c r="I52" s="1135">
        <f t="shared" si="1"/>
        <v>0</v>
      </c>
      <c r="J52" s="1135"/>
      <c r="K52" s="1407">
        <f>SUM('2.a sz. mell'!F52+'2.b sz. mell'!F52+'2.c sz. mell '!F52)</f>
        <v>0</v>
      </c>
    </row>
    <row r="53" spans="1:15" ht="15" hidden="1" customHeight="1" x14ac:dyDescent="0.2">
      <c r="A53" s="97"/>
      <c r="B53" s="109"/>
      <c r="C53" s="158"/>
      <c r="D53" s="142">
        <f>SUM('3.2.sz.melléklet'!E17)</f>
        <v>32000</v>
      </c>
      <c r="E53" s="142">
        <f>SUM('3.2.sz.melléklet'!F17)</f>
        <v>32000</v>
      </c>
      <c r="F53" s="142"/>
      <c r="G53" s="142"/>
      <c r="I53" s="1135">
        <f t="shared" si="1"/>
        <v>0</v>
      </c>
      <c r="J53" s="1135"/>
      <c r="K53" s="1407">
        <f>SUM('2.a sz. mell'!F53+'2.b sz. mell'!F53+'2.c sz. mell '!F53)</f>
        <v>0</v>
      </c>
    </row>
    <row r="54" spans="1:15" ht="15" hidden="1" customHeight="1" x14ac:dyDescent="0.2">
      <c r="A54" s="104"/>
      <c r="B54" s="109"/>
      <c r="C54" s="158"/>
      <c r="D54" s="145"/>
      <c r="E54" s="145"/>
      <c r="F54" s="145"/>
      <c r="G54" s="145"/>
      <c r="I54" s="1135">
        <f t="shared" si="1"/>
        <v>0</v>
      </c>
      <c r="J54" s="1135"/>
      <c r="K54" s="1407">
        <f>SUM('2.a sz. mell'!F54+'2.b sz. mell'!F54+'2.c sz. mell '!F54)</f>
        <v>0</v>
      </c>
    </row>
    <row r="55" spans="1:15" ht="15" hidden="1" customHeight="1" x14ac:dyDescent="0.2">
      <c r="A55" s="1235"/>
      <c r="B55" s="112"/>
      <c r="C55" s="129"/>
      <c r="D55" s="159">
        <f>SUM('3.2.sz.melléklet'!E124)</f>
        <v>143605</v>
      </c>
      <c r="E55" s="159">
        <f>'3.2.sz.melléklet'!F122</f>
        <v>13195</v>
      </c>
      <c r="F55" s="159"/>
      <c r="G55" s="159"/>
      <c r="I55" s="1135">
        <f t="shared" si="1"/>
        <v>0</v>
      </c>
      <c r="J55" s="1135"/>
      <c r="K55" s="1407">
        <f>SUM('2.a sz. mell'!F55+'2.b sz. mell'!F55+'2.c sz. mell '!F55)</f>
        <v>0</v>
      </c>
    </row>
    <row r="56" spans="1:15" ht="15" customHeight="1" thickBot="1" x14ac:dyDescent="0.25">
      <c r="A56" s="1233" t="s">
        <v>3</v>
      </c>
      <c r="B56" s="2"/>
      <c r="C56" s="10" t="s">
        <v>140</v>
      </c>
      <c r="D56" s="141">
        <f>SUM(D57:D59)</f>
        <v>222432</v>
      </c>
      <c r="E56" s="141">
        <f>SUM(E57:E59)</f>
        <v>696460</v>
      </c>
      <c r="F56" s="141">
        <f>SUM(F57:F59)</f>
        <v>259781</v>
      </c>
      <c r="G56" s="141">
        <f t="shared" si="6"/>
        <v>37.30020388823479</v>
      </c>
      <c r="I56" s="1135">
        <f t="shared" si="1"/>
        <v>0</v>
      </c>
      <c r="J56" s="1135"/>
      <c r="K56" s="1407">
        <f>SUM('2.a sz. mell'!F56+'2.b sz. mell'!F56+'2.c sz. mell '!F56)</f>
        <v>259781</v>
      </c>
    </row>
    <row r="57" spans="1:15" s="125" customFormat="1" ht="15" customHeight="1" x14ac:dyDescent="0.2">
      <c r="A57" s="113"/>
      <c r="B57" s="109" t="s">
        <v>141</v>
      </c>
      <c r="C57" s="3" t="s">
        <v>142</v>
      </c>
      <c r="D57" s="147">
        <f>SUM('3.2.sz.melléklet'!E140)</f>
        <v>91500</v>
      </c>
      <c r="E57" s="147">
        <f>SUM('3.2.sz.melléklet'!F140)</f>
        <v>595591</v>
      </c>
      <c r="F57" s="147">
        <f>SUM('3.2.sz.melléklet'!G140)+'4. sz. mell.'!F55+'5. sz. mell. '!F53</f>
        <v>137509</v>
      </c>
      <c r="G57" s="147">
        <f t="shared" si="6"/>
        <v>23.087823691090026</v>
      </c>
      <c r="I57" s="1135">
        <f t="shared" si="1"/>
        <v>0</v>
      </c>
      <c r="J57" s="1135"/>
      <c r="K57" s="1407">
        <f>SUM('2.a sz. mell'!F57+'2.b sz. mell'!F57+'2.c sz. mell '!F57)</f>
        <v>137509</v>
      </c>
    </row>
    <row r="58" spans="1:15" ht="15" customHeight="1" x14ac:dyDescent="0.2">
      <c r="A58" s="97"/>
      <c r="B58" s="109" t="s">
        <v>143</v>
      </c>
      <c r="C58" s="3" t="s">
        <v>64</v>
      </c>
      <c r="D58" s="142">
        <f>SUM('3.2.sz.melléklet'!E139)</f>
        <v>25000</v>
      </c>
      <c r="E58" s="142">
        <f>SUM('3.2.sz.melléklet'!F139)</f>
        <v>25000</v>
      </c>
      <c r="F58" s="142">
        <f>SUM('3.2.sz.melléklet'!G139)+'4. sz. mell.'!F56+'5. sz. mell. '!F54</f>
        <v>15000</v>
      </c>
      <c r="G58" s="142">
        <f t="shared" si="6"/>
        <v>60</v>
      </c>
      <c r="I58" s="1135">
        <f t="shared" si="1"/>
        <v>0</v>
      </c>
      <c r="J58" s="1135"/>
      <c r="K58" s="1407">
        <f>SUM('2.a sz. mell'!F58+'2.b sz. mell'!F58+'2.c sz. mell '!F58)</f>
        <v>15000</v>
      </c>
    </row>
    <row r="59" spans="1:15" ht="15" customHeight="1" x14ac:dyDescent="0.2">
      <c r="A59" s="97"/>
      <c r="B59" s="109" t="s">
        <v>144</v>
      </c>
      <c r="C59" s="3" t="s">
        <v>66</v>
      </c>
      <c r="D59" s="142">
        <f>SUM(D62+D61)</f>
        <v>105932</v>
      </c>
      <c r="E59" s="142">
        <f t="shared" ref="E59" si="7">SUM(E62+E61)</f>
        <v>75869</v>
      </c>
      <c r="F59" s="142">
        <f>SUM(F60:F62)</f>
        <v>107272</v>
      </c>
      <c r="G59" s="142">
        <f t="shared" si="6"/>
        <v>141.39108199659941</v>
      </c>
      <c r="I59" s="1135">
        <f t="shared" si="1"/>
        <v>0</v>
      </c>
      <c r="J59" s="1135"/>
      <c r="K59" s="1407">
        <f>SUM('2.a sz. mell'!F59+'2.b sz. mell'!F59+'2.c sz. mell '!F59)</f>
        <v>107272</v>
      </c>
    </row>
    <row r="60" spans="1:15" ht="15" customHeight="1" x14ac:dyDescent="0.2">
      <c r="A60" s="1294"/>
      <c r="B60" s="1295" t="s">
        <v>469</v>
      </c>
      <c r="C60" s="158" t="s">
        <v>1621</v>
      </c>
      <c r="D60" s="1296"/>
      <c r="E60" s="1296"/>
      <c r="F60" s="1296">
        <f>SUM('3.2.sz.melléklet'!G144)</f>
        <v>80000</v>
      </c>
      <c r="G60" s="1296"/>
      <c r="I60" s="1135">
        <f t="shared" si="1"/>
        <v>0</v>
      </c>
      <c r="J60" s="1135"/>
      <c r="K60" s="1407">
        <f>SUM('2.a sz. mell'!F60+'2.b sz. mell'!F60+'2.c sz. mell '!F60)</f>
        <v>80000</v>
      </c>
    </row>
    <row r="61" spans="1:15" ht="15" customHeight="1" x14ac:dyDescent="0.2">
      <c r="A61" s="97"/>
      <c r="B61" s="1295" t="s">
        <v>470</v>
      </c>
      <c r="C61" s="158" t="s">
        <v>62</v>
      </c>
      <c r="D61" s="142">
        <f>SUM('3.2.sz.melléklet'!E148+'3.2.sz.melléklet'!E149)</f>
        <v>54500</v>
      </c>
      <c r="E61" s="142">
        <f>SUM('3.2.sz.melléklet'!F148+'3.2.sz.melléklet'!F149)</f>
        <v>54500</v>
      </c>
      <c r="F61" s="142">
        <f>SUM('3.2.sz.melléklet'!G149)</f>
        <v>0</v>
      </c>
      <c r="G61" s="142">
        <f t="shared" si="6"/>
        <v>0</v>
      </c>
      <c r="I61" s="1135">
        <f t="shared" si="1"/>
        <v>0</v>
      </c>
      <c r="J61" s="1135"/>
      <c r="K61" s="1407">
        <f>SUM('2.a sz. mell'!F61+'2.b sz. mell'!F61+'2.c sz. mell '!F61)</f>
        <v>0</v>
      </c>
    </row>
    <row r="62" spans="1:15" s="125" customFormat="1" ht="15" customHeight="1" thickBot="1" x14ac:dyDescent="0.25">
      <c r="A62" s="97"/>
      <c r="B62" s="1295" t="s">
        <v>471</v>
      </c>
      <c r="C62" s="158" t="s">
        <v>87</v>
      </c>
      <c r="D62" s="142">
        <f>SUM(D63:D65)</f>
        <v>51432</v>
      </c>
      <c r="E62" s="142">
        <f t="shared" ref="E62" si="8">SUM(E63:E65)</f>
        <v>21369</v>
      </c>
      <c r="F62" s="142">
        <f>SUM('3.2.sz.melléklet'!G156)</f>
        <v>27272</v>
      </c>
      <c r="G62" s="142">
        <f t="shared" si="6"/>
        <v>127.62412841031401</v>
      </c>
      <c r="I62" s="1135">
        <f t="shared" si="1"/>
        <v>0</v>
      </c>
      <c r="J62" s="1135"/>
      <c r="K62" s="1407">
        <f>SUM('2.a sz. mell'!F62+'2.b sz. mell'!F62+'2.c sz. mell '!F62)</f>
        <v>27272</v>
      </c>
    </row>
    <row r="63" spans="1:15" ht="15" hidden="1" customHeight="1" x14ac:dyDescent="0.25">
      <c r="A63" s="97"/>
      <c r="B63" s="109"/>
      <c r="C63" s="160"/>
      <c r="D63" s="161">
        <f>SUM('3.2.sz.melléklet'!E144)</f>
        <v>51432</v>
      </c>
      <c r="E63" s="161">
        <f>SUM('3.2.sz.melléklet'!F144)</f>
        <v>21369</v>
      </c>
      <c r="F63" s="161"/>
      <c r="G63" s="161">
        <f t="shared" si="6"/>
        <v>0</v>
      </c>
      <c r="I63" s="1135">
        <f t="shared" si="1"/>
        <v>0</v>
      </c>
      <c r="J63" s="1135"/>
      <c r="K63" s="1407">
        <f>SUM('2.a sz. mell'!F63+'2.b sz. mell'!F63+'2.c sz. mell '!F63)</f>
        <v>0</v>
      </c>
      <c r="O63" s="127"/>
    </row>
    <row r="64" spans="1:15" ht="15" hidden="1" customHeight="1" x14ac:dyDescent="0.25">
      <c r="A64" s="97"/>
      <c r="B64" s="109"/>
      <c r="C64" s="160"/>
      <c r="D64" s="161"/>
      <c r="E64" s="161"/>
      <c r="F64" s="161"/>
      <c r="G64" s="161"/>
      <c r="I64" s="1135">
        <f t="shared" si="1"/>
        <v>0</v>
      </c>
      <c r="J64" s="1135"/>
      <c r="K64" s="1407">
        <f>SUM('2.a sz. mell'!F64+'2.b sz. mell'!F64+'2.c sz. mell '!F64)</f>
        <v>0</v>
      </c>
    </row>
    <row r="65" spans="1:11" ht="15" hidden="1" customHeight="1" x14ac:dyDescent="0.25">
      <c r="A65" s="104"/>
      <c r="B65" s="109"/>
      <c r="C65" s="162"/>
      <c r="D65" s="163"/>
      <c r="E65" s="163"/>
      <c r="F65" s="163">
        <f>'3.2.sz.melléklet'!G142</f>
        <v>0</v>
      </c>
      <c r="G65" s="163"/>
      <c r="I65" s="1135">
        <f t="shared" si="1"/>
        <v>0</v>
      </c>
      <c r="J65" s="1135"/>
      <c r="K65" s="1407">
        <f>SUM('2.a sz. mell'!F65+'2.b sz. mell'!F65+'2.c sz. mell '!F65)</f>
        <v>0</v>
      </c>
    </row>
    <row r="66" spans="1:11" ht="15" hidden="1" customHeight="1" x14ac:dyDescent="0.2">
      <c r="A66" s="1233"/>
      <c r="B66" s="2"/>
      <c r="C66" s="10"/>
      <c r="D66" s="119"/>
      <c r="E66" s="119">
        <f>'3.2.sz.melléklet'!F147</f>
        <v>6831</v>
      </c>
      <c r="F66" s="119"/>
      <c r="G66" s="119">
        <f t="shared" si="6"/>
        <v>0</v>
      </c>
      <c r="I66" s="1135">
        <f t="shared" si="1"/>
        <v>0</v>
      </c>
      <c r="J66" s="1135"/>
      <c r="K66" s="1407">
        <f>SUM('2.a sz. mell'!F66+'2.b sz. mell'!F66+'2.c sz. mell '!F66)</f>
        <v>0</v>
      </c>
    </row>
    <row r="67" spans="1:11" s="125" customFormat="1" ht="15" hidden="1" customHeight="1" x14ac:dyDescent="0.2">
      <c r="A67" s="1233"/>
      <c r="B67" s="2"/>
      <c r="C67" s="10"/>
      <c r="D67" s="141">
        <f>+D68+D70</f>
        <v>115000</v>
      </c>
      <c r="E67" s="141">
        <f t="shared" ref="E67:F67" si="9">+E68+E70</f>
        <v>258544</v>
      </c>
      <c r="F67" s="141">
        <f t="shared" si="9"/>
        <v>0</v>
      </c>
      <c r="G67" s="141">
        <f t="shared" si="6"/>
        <v>0</v>
      </c>
      <c r="I67" s="1135">
        <f t="shared" si="1"/>
        <v>0</v>
      </c>
      <c r="J67" s="1135"/>
      <c r="K67" s="1407">
        <f>SUM('2.a sz. mell'!F67+'2.b sz. mell'!F67+'2.c sz. mell '!F67)</f>
        <v>0</v>
      </c>
    </row>
    <row r="68" spans="1:11" s="125" customFormat="1" ht="15" hidden="1" customHeight="1" x14ac:dyDescent="0.2">
      <c r="A68" s="113"/>
      <c r="B68" s="124"/>
      <c r="C68" s="3"/>
      <c r="D68" s="147">
        <f>SUM('3.2.sz.melléklet'!E157)</f>
        <v>20000</v>
      </c>
      <c r="E68" s="147"/>
      <c r="F68" s="147">
        <f>SUM('3.2.sz.melléklet'!G157)</f>
        <v>0</v>
      </c>
      <c r="G68" s="147" t="e">
        <f t="shared" si="6"/>
        <v>#DIV/0!</v>
      </c>
      <c r="I68" s="1135">
        <f t="shared" si="1"/>
        <v>0</v>
      </c>
      <c r="J68" s="1135"/>
      <c r="K68" s="1407">
        <f>SUM('2.a sz. mell'!F68+'2.b sz. mell'!F68+'2.c sz. mell '!F68)</f>
        <v>0</v>
      </c>
    </row>
    <row r="69" spans="1:11" s="125" customFormat="1" ht="15" hidden="1" customHeight="1" x14ac:dyDescent="0.2">
      <c r="A69" s="100"/>
      <c r="B69" s="126"/>
      <c r="C69" s="3"/>
      <c r="D69" s="143"/>
      <c r="E69" s="147"/>
      <c r="F69" s="143"/>
      <c r="G69" s="143"/>
      <c r="I69" s="1135">
        <f t="shared" si="1"/>
        <v>0</v>
      </c>
      <c r="J69" s="1135"/>
      <c r="K69" s="1407">
        <f>SUM('2.a sz. mell'!F69+'2.b sz. mell'!F69+'2.c sz. mell '!F69)</f>
        <v>0</v>
      </c>
    </row>
    <row r="70" spans="1:11" s="125" customFormat="1" ht="15" hidden="1" customHeight="1" x14ac:dyDescent="0.2">
      <c r="A70" s="104"/>
      <c r="B70" s="118"/>
      <c r="C70" s="3"/>
      <c r="D70" s="145">
        <f>SUM('3.2.sz.melléklet'!E158)</f>
        <v>95000</v>
      </c>
      <c r="E70" s="145">
        <f>SUM('3.2.sz.melléklet'!F158)</f>
        <v>258544</v>
      </c>
      <c r="F70" s="145"/>
      <c r="G70" s="145">
        <f t="shared" si="6"/>
        <v>0</v>
      </c>
      <c r="I70" s="1135">
        <f t="shared" si="1"/>
        <v>0</v>
      </c>
      <c r="J70" s="1135"/>
      <c r="K70" s="1407">
        <f>SUM('2.a sz. mell'!F70+'2.b sz. mell'!F70+'2.c sz. mell '!F70)</f>
        <v>0</v>
      </c>
    </row>
    <row r="71" spans="1:11" s="125" customFormat="1" ht="15" hidden="1" customHeight="1" thickBot="1" x14ac:dyDescent="0.25">
      <c r="A71" s="1233"/>
      <c r="B71" s="130"/>
      <c r="C71" s="10"/>
      <c r="D71" s="119">
        <f>SUM('3.2.sz.melléklet'!E33)</f>
        <v>1251895</v>
      </c>
      <c r="E71" s="119" t="e">
        <f>SUM('3.2.sz.melléklet'!F33)</f>
        <v>#REF!</v>
      </c>
      <c r="F71" s="119"/>
      <c r="G71" s="119" t="e">
        <f t="shared" si="6"/>
        <v>#REF!</v>
      </c>
      <c r="I71" s="1135">
        <f t="shared" ref="I71:I72" si="10">SUM(F71-K71)</f>
        <v>0</v>
      </c>
      <c r="J71" s="1135"/>
      <c r="K71" s="1407">
        <f>SUM('2.a sz. mell'!F71+'2.b sz. mell'!F71+'2.c sz. mell '!F71)</f>
        <v>0</v>
      </c>
    </row>
    <row r="72" spans="1:11" s="125" customFormat="1" ht="15" customHeight="1" thickBot="1" x14ac:dyDescent="0.25">
      <c r="A72" s="1233"/>
      <c r="B72" s="2"/>
      <c r="C72" s="8"/>
      <c r="D72" s="164">
        <f>+D41+D56+D66+D67+D71</f>
        <v>2462862</v>
      </c>
      <c r="E72" s="164" t="e">
        <f>+E41+E56+E66+E67+E71</f>
        <v>#REF!</v>
      </c>
      <c r="F72" s="164"/>
      <c r="G72" s="164" t="e">
        <f t="shared" si="6"/>
        <v>#REF!</v>
      </c>
      <c r="I72" s="1135">
        <f t="shared" si="10"/>
        <v>0</v>
      </c>
      <c r="J72" s="1135"/>
      <c r="K72" s="1407">
        <f>SUM('2.a sz. mell'!F72+'2.b sz. mell'!F72+'2.c sz. mell '!F72)</f>
        <v>0</v>
      </c>
    </row>
    <row r="73" spans="1:11" s="125" customFormat="1" ht="15" customHeight="1" thickBot="1" x14ac:dyDescent="0.25">
      <c r="A73" s="1233" t="s">
        <v>12</v>
      </c>
      <c r="B73" s="2"/>
      <c r="C73" s="10" t="s">
        <v>1623</v>
      </c>
      <c r="D73" s="141">
        <f>+D74+D75</f>
        <v>64000</v>
      </c>
      <c r="E73" s="141">
        <f t="shared" ref="E73:F73" si="11">+E74+E75</f>
        <v>64000</v>
      </c>
      <c r="F73" s="141">
        <f t="shared" si="11"/>
        <v>1362313</v>
      </c>
      <c r="G73" s="141">
        <f t="shared" si="6"/>
        <v>2128.6140625000003</v>
      </c>
      <c r="I73" s="1135">
        <f>SUM(F73-K73)</f>
        <v>0</v>
      </c>
      <c r="J73" s="1135"/>
      <c r="K73" s="1407">
        <f>SUM('2.a sz. mell'!F73+'2.b sz. mell'!F73+'2.c sz. mell '!F73)</f>
        <v>1362313</v>
      </c>
    </row>
    <row r="74" spans="1:11" ht="15" customHeight="1" x14ac:dyDescent="0.2">
      <c r="A74" s="113"/>
      <c r="B74" s="118" t="s">
        <v>720</v>
      </c>
      <c r="C74" s="3" t="s">
        <v>1622</v>
      </c>
      <c r="D74" s="147"/>
      <c r="E74" s="147"/>
      <c r="F74" s="147">
        <f>SUM('3.2.sz.melléklet'!G33)</f>
        <v>1356523</v>
      </c>
      <c r="G74" s="147"/>
      <c r="I74" s="1135">
        <f t="shared" ref="I74:I79" si="12">SUM(F74-K74)</f>
        <v>0</v>
      </c>
      <c r="J74" s="1135"/>
      <c r="K74" s="1407">
        <f>SUM('2.a sz. mell'!F74+'2.b sz. mell'!F74+'2.c sz. mell '!F74)</f>
        <v>1356523</v>
      </c>
    </row>
    <row r="75" spans="1:11" ht="15" customHeight="1" thickBot="1" x14ac:dyDescent="0.25">
      <c r="A75" s="104"/>
      <c r="B75" s="118" t="s">
        <v>538</v>
      </c>
      <c r="C75" s="3" t="s">
        <v>135</v>
      </c>
      <c r="D75" s="145">
        <f>SUM('3.2.sz.melléklet'!E162)</f>
        <v>64000</v>
      </c>
      <c r="E75" s="145">
        <f>SUM('3.2.sz.melléklet'!F162)</f>
        <v>64000</v>
      </c>
      <c r="F75" s="145">
        <f>SUM('3.2.sz.melléklet'!G162)</f>
        <v>5790</v>
      </c>
      <c r="G75" s="145">
        <f t="shared" si="6"/>
        <v>9.046875</v>
      </c>
      <c r="I75" s="1135">
        <f t="shared" si="12"/>
        <v>0</v>
      </c>
      <c r="J75" s="1135"/>
      <c r="K75" s="1407">
        <f>SUM('2.a sz. mell'!F75+'2.b sz. mell'!F75+'2.c sz. mell '!F75)</f>
        <v>5790</v>
      </c>
    </row>
    <row r="76" spans="1:11" s="99" customFormat="1" ht="15" customHeight="1" thickBot="1" x14ac:dyDescent="0.25">
      <c r="A76" s="1233"/>
      <c r="B76" s="2"/>
      <c r="C76" s="10"/>
      <c r="D76" s="119"/>
      <c r="E76" s="119"/>
      <c r="F76" s="119">
        <f>'3.2.sz.melléklet'!G230</f>
        <v>0</v>
      </c>
      <c r="G76" s="119"/>
      <c r="I76" s="1135">
        <f t="shared" si="12"/>
        <v>0</v>
      </c>
      <c r="J76" s="1135"/>
      <c r="K76" s="1407">
        <f>SUM('2.a sz. mell'!F76+'2.b sz. mell'!F76+'2.c sz. mell '!F76)</f>
        <v>0</v>
      </c>
    </row>
    <row r="77" spans="1:11" ht="15" customHeight="1" thickBot="1" x14ac:dyDescent="0.25">
      <c r="A77" s="150"/>
      <c r="B77" s="151"/>
      <c r="C77" s="9" t="s">
        <v>984</v>
      </c>
      <c r="D77" s="152">
        <f>+D72+D73</f>
        <v>2526862</v>
      </c>
      <c r="E77" s="152" t="e">
        <f t="shared" ref="E77" si="13">+E72+E73</f>
        <v>#REF!</v>
      </c>
      <c r="F77" s="152">
        <f>SUM(F41+F56+F73)</f>
        <v>4565433</v>
      </c>
      <c r="G77" s="152" t="e">
        <f t="shared" si="6"/>
        <v>#REF!</v>
      </c>
      <c r="I77" s="1135">
        <f t="shared" si="12"/>
        <v>0</v>
      </c>
      <c r="J77" s="1135"/>
      <c r="K77" s="1407">
        <f>SUM('2.a sz. mell'!F77+'2.b sz. mell'!F77+'2.c sz. mell '!F77)</f>
        <v>4565433</v>
      </c>
    </row>
    <row r="78" spans="1:11" ht="21.75" customHeight="1" x14ac:dyDescent="0.2">
      <c r="A78" s="1297"/>
      <c r="B78" s="1298"/>
      <c r="C78" s="1300" t="s">
        <v>1624</v>
      </c>
      <c r="D78" s="1299"/>
      <c r="E78" s="1299"/>
      <c r="F78" s="1299">
        <f>SUM(F74)</f>
        <v>1356523</v>
      </c>
      <c r="G78" s="1299"/>
      <c r="I78" s="1135">
        <f t="shared" si="12"/>
        <v>0</v>
      </c>
      <c r="J78" s="1135"/>
      <c r="K78" s="1407">
        <f>SUM('2.a sz. mell'!F78+'2.b sz. mell'!F78+'2.c sz. mell '!F78)</f>
        <v>1356523</v>
      </c>
    </row>
    <row r="79" spans="1:11" ht="20.25" customHeight="1" thickBot="1" x14ac:dyDescent="0.25">
      <c r="A79" s="165"/>
      <c r="B79" s="166"/>
      <c r="C79" s="1302" t="s">
        <v>1625</v>
      </c>
      <c r="D79" s="132"/>
      <c r="E79" s="132"/>
      <c r="F79" s="1301">
        <f>SUM(F77-F78)</f>
        <v>3208910</v>
      </c>
      <c r="G79" s="132"/>
      <c r="I79" s="1135">
        <f t="shared" si="12"/>
        <v>0</v>
      </c>
      <c r="J79" s="1135"/>
      <c r="K79" s="1407">
        <f>SUM('2.a sz. mell'!F79+'2.b sz. mell'!F79+'2.c sz. mell '!F79)</f>
        <v>3208910</v>
      </c>
    </row>
    <row r="80" spans="1:11" ht="20.25" customHeight="1" thickBot="1" x14ac:dyDescent="0.25">
      <c r="A80" s="1520" t="s">
        <v>136</v>
      </c>
      <c r="B80" s="1520"/>
      <c r="C80" s="1520"/>
      <c r="D80" s="136">
        <f>SUM('3.2.sz.melléklet'!E199+'3.2.sz.melléklet'!E182)</f>
        <v>9.5</v>
      </c>
      <c r="E80" s="136">
        <f>SUM('3.2.sz.melléklet'!F199+'3.2.sz.melléklet'!F182)</f>
        <v>9.5</v>
      </c>
      <c r="F80" s="136">
        <f>SUM('3. sz. mell'!F75+'4. sz. mell.'!F63+'5. sz. mell. '!F59)</f>
        <v>367.75</v>
      </c>
      <c r="G80" s="136"/>
      <c r="I80" s="1135"/>
      <c r="J80" s="1136"/>
      <c r="K80" s="1407">
        <f>SUM('2.a sz. mell'!F80+'2.b sz. mell'!F80+'2.c sz. mell '!F80)</f>
        <v>0</v>
      </c>
    </row>
    <row r="81" spans="1:11" ht="15" customHeight="1" thickBot="1" x14ac:dyDescent="0.25">
      <c r="A81" s="1520" t="s">
        <v>137</v>
      </c>
      <c r="B81" s="1520"/>
      <c r="C81" s="1520"/>
      <c r="D81" s="167">
        <v>13.5</v>
      </c>
      <c r="E81" s="167">
        <v>13.5</v>
      </c>
      <c r="F81" s="167">
        <f>SUM('3.2.sz.melléklet'!G194)</f>
        <v>43.5</v>
      </c>
      <c r="G81" s="167"/>
      <c r="I81" s="1135"/>
      <c r="J81" s="1136"/>
      <c r="K81" s="1407">
        <f>SUM('2.a sz. mell'!F81+'2.b sz. mell'!F81+'2.c sz. mell '!F81)</f>
        <v>0</v>
      </c>
    </row>
    <row r="82" spans="1:11" ht="15" customHeight="1" x14ac:dyDescent="0.2"/>
    <row r="83" spans="1:11" ht="15" customHeight="1" x14ac:dyDescent="0.2"/>
    <row r="84" spans="1:11" ht="16.5" thickBot="1" x14ac:dyDescent="0.25"/>
    <row r="85" spans="1:11" ht="16.5" thickBot="1" x14ac:dyDescent="0.25">
      <c r="E85" s="152">
        <v>4969009</v>
      </c>
      <c r="F85" s="152">
        <v>4971068</v>
      </c>
    </row>
    <row r="88" spans="1:11" x14ac:dyDescent="0.2">
      <c r="E88" s="971" t="e">
        <f>SUM(E85-E77)</f>
        <v>#REF!</v>
      </c>
      <c r="F88" s="971">
        <f>SUM(F85-F77)</f>
        <v>405635</v>
      </c>
    </row>
  </sheetData>
  <sheetProtection selectLockedCells="1" selectUnlockedCells="1"/>
  <mergeCells count="8">
    <mergeCell ref="A80:C80"/>
    <mergeCell ref="A81:C81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és intézményei 2014. évi 
bevételei és kiadásai&amp;R&amp;"Times New Roman,Normál"&amp;11 &amp;12 2. sz. melléklet
Ezer Ft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2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4" style="76" customWidth="1"/>
    <col min="4" max="4" width="13.5" style="76" hidden="1" customWidth="1"/>
    <col min="5" max="5" width="13.6640625" style="76" hidden="1" customWidth="1"/>
    <col min="6" max="6" width="18.33203125" style="76" customWidth="1"/>
    <col min="7" max="7" width="2.6640625" style="76" hidden="1" customWidth="1"/>
    <col min="8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553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564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1510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41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8.5" x14ac:dyDescent="0.2">
      <c r="A19" s="1139" t="s">
        <v>3</v>
      </c>
      <c r="B19" s="94"/>
      <c r="C19" s="1142" t="s">
        <v>1482</v>
      </c>
      <c r="D19" s="141">
        <f>SUM(D20:D25)</f>
        <v>88468</v>
      </c>
      <c r="E19" s="141">
        <f t="shared" ref="E19:F19" si="1">SUM(E20:E25)</f>
        <v>91119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88468</v>
      </c>
      <c r="E20" s="142">
        <v>91119</v>
      </c>
      <c r="F20" s="142"/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f>SUM(F29:F31)</f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f>SUM(F33:F33)</f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f>SUM(F35)</f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1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120</v>
      </c>
      <c r="F36" s="148">
        <f>SUM(F37:F39)</f>
        <v>124500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120</v>
      </c>
      <c r="F37" s="1174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2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3980</v>
      </c>
      <c r="E39" s="119">
        <v>7945</v>
      </c>
      <c r="F39" s="1174">
        <f>SUM(F40:F41)</f>
        <v>124500</v>
      </c>
      <c r="G39" s="119">
        <f>F39/E39*100</f>
        <v>1567.0232850849591</v>
      </c>
      <c r="I39" s="110">
        <f>SUM(F59-F43)</f>
        <v>0</v>
      </c>
    </row>
    <row r="40" spans="1:9" s="99" customFormat="1" ht="15" customHeight="1" thickBot="1" x14ac:dyDescent="0.25">
      <c r="A40" s="1408"/>
      <c r="B40" s="1413" t="s">
        <v>1777</v>
      </c>
      <c r="C40" s="1414" t="s">
        <v>1775</v>
      </c>
      <c r="D40" s="1415"/>
      <c r="E40" s="1415"/>
      <c r="F40" s="1416">
        <v>114428</v>
      </c>
      <c r="G40" s="1224"/>
      <c r="I40" s="110"/>
    </row>
    <row r="41" spans="1:9" s="99" customFormat="1" ht="15" customHeight="1" thickBot="1" x14ac:dyDescent="0.25">
      <c r="A41" s="1408"/>
      <c r="B41" s="1417" t="s">
        <v>1778</v>
      </c>
      <c r="C41" s="1418" t="s">
        <v>1776</v>
      </c>
      <c r="D41" s="1419"/>
      <c r="E41" s="1419"/>
      <c r="F41" s="1420">
        <v>10072</v>
      </c>
      <c r="G41" s="1224"/>
      <c r="I41" s="110"/>
    </row>
    <row r="42" spans="1:9" s="99" customFormat="1" ht="15" hidden="1" customHeight="1" thickBot="1" x14ac:dyDescent="0.3">
      <c r="A42" s="116"/>
      <c r="B42" s="117"/>
      <c r="C42" s="2" t="s">
        <v>542</v>
      </c>
      <c r="D42" s="119"/>
      <c r="E42" s="119"/>
      <c r="F42" s="119"/>
      <c r="G42" s="119"/>
    </row>
    <row r="43" spans="1:9" s="99" customFormat="1" ht="15" customHeight="1" thickBot="1" x14ac:dyDescent="0.25">
      <c r="A43" s="150" t="s">
        <v>38</v>
      </c>
      <c r="B43" s="151"/>
      <c r="C43" s="354" t="s">
        <v>510</v>
      </c>
      <c r="D43" s="152">
        <f>SUM(D8,D19,D26,D28,D36,D39)</f>
        <v>92448</v>
      </c>
      <c r="E43" s="152">
        <f>SUM(E8,E19,E26,E28,E36,E39)</f>
        <v>99184</v>
      </c>
      <c r="F43" s="152">
        <f>SUM(F8,F19,F26,F28,F32,F34,F36)</f>
        <v>124500</v>
      </c>
      <c r="G43" s="152">
        <f>F43/E43*100</f>
        <v>125.52427810937247</v>
      </c>
      <c r="I43" s="409">
        <f>SUM(D59-D43)</f>
        <v>0</v>
      </c>
    </row>
    <row r="44" spans="1:9" s="99" customFormat="1" ht="15" customHeight="1" thickBot="1" x14ac:dyDescent="0.25">
      <c r="A44" s="336"/>
      <c r="B44" s="336"/>
      <c r="C44" s="355"/>
      <c r="D44" s="388"/>
      <c r="E44" s="388"/>
      <c r="F44" s="388"/>
      <c r="G44" s="388"/>
    </row>
    <row r="45" spans="1:9" s="411" customFormat="1" ht="15" customHeight="1" x14ac:dyDescent="0.2">
      <c r="A45" s="150"/>
      <c r="B45" s="151"/>
      <c r="C45" s="387" t="s">
        <v>82</v>
      </c>
      <c r="D45" s="152"/>
      <c r="E45" s="152"/>
      <c r="F45" s="152"/>
      <c r="G45" s="152"/>
    </row>
    <row r="46" spans="1:9" s="96" customFormat="1" ht="15" customHeight="1" thickBot="1" x14ac:dyDescent="0.25">
      <c r="A46" s="93" t="s">
        <v>2</v>
      </c>
      <c r="B46" s="2"/>
      <c r="C46" s="1156" t="s">
        <v>49</v>
      </c>
      <c r="D46" s="141">
        <f>SUM(D47:D51)</f>
        <v>92448</v>
      </c>
      <c r="E46" s="141">
        <f t="shared" ref="E46:F46" si="3">SUM(E47:E51)</f>
        <v>99095</v>
      </c>
      <c r="F46" s="141">
        <f t="shared" si="3"/>
        <v>124000</v>
      </c>
      <c r="G46" s="141">
        <f>F46/E46*100</f>
        <v>125.13244866037641</v>
      </c>
    </row>
    <row r="47" spans="1:9" s="99" customFormat="1" ht="15" customHeight="1" x14ac:dyDescent="0.2">
      <c r="A47" s="113"/>
      <c r="B47" s="1165" t="s">
        <v>50</v>
      </c>
      <c r="C47" s="7" t="s">
        <v>51</v>
      </c>
      <c r="D47" s="147">
        <v>63435</v>
      </c>
      <c r="E47" s="147">
        <v>68371</v>
      </c>
      <c r="F47" s="147">
        <v>89244</v>
      </c>
      <c r="G47" s="147"/>
    </row>
    <row r="48" spans="1:9" s="99" customFormat="1" ht="15" customHeight="1" x14ac:dyDescent="0.2">
      <c r="A48" s="97"/>
      <c r="B48" s="1166" t="s">
        <v>52</v>
      </c>
      <c r="C48" s="3" t="s">
        <v>53</v>
      </c>
      <c r="D48" s="142">
        <v>16960</v>
      </c>
      <c r="E48" s="142">
        <v>18293</v>
      </c>
      <c r="F48" s="142">
        <v>24467</v>
      </c>
      <c r="G48" s="142"/>
    </row>
    <row r="49" spans="1:7" s="99" customFormat="1" ht="15" customHeight="1" x14ac:dyDescent="0.2">
      <c r="A49" s="97"/>
      <c r="B49" s="1166" t="s">
        <v>54</v>
      </c>
      <c r="C49" s="3" t="s">
        <v>55</v>
      </c>
      <c r="D49" s="142">
        <v>12053</v>
      </c>
      <c r="E49" s="142">
        <v>12431</v>
      </c>
      <c r="F49" s="142">
        <v>10289</v>
      </c>
      <c r="G49" s="142"/>
    </row>
    <row r="50" spans="1:7" s="99" customFormat="1" ht="15" customHeight="1" x14ac:dyDescent="0.2">
      <c r="A50" s="97"/>
      <c r="B50" s="1166" t="s">
        <v>56</v>
      </c>
      <c r="C50" s="3" t="s">
        <v>57</v>
      </c>
      <c r="D50" s="142">
        <v>0</v>
      </c>
      <c r="E50" s="142">
        <v>0</v>
      </c>
      <c r="F50" s="142">
        <v>0</v>
      </c>
      <c r="G50" s="142"/>
    </row>
    <row r="51" spans="1:7" s="99" customFormat="1" ht="15" customHeight="1" thickBot="1" x14ac:dyDescent="0.25">
      <c r="A51" s="97"/>
      <c r="B51" s="1166" t="s">
        <v>227</v>
      </c>
      <c r="C51" s="3" t="s">
        <v>59</v>
      </c>
      <c r="D51" s="142">
        <v>0</v>
      </c>
      <c r="E51" s="142">
        <v>0</v>
      </c>
      <c r="F51" s="142">
        <v>0</v>
      </c>
      <c r="G51" s="142"/>
    </row>
    <row r="52" spans="1:7" s="99" customFormat="1" ht="15" customHeight="1" thickBot="1" x14ac:dyDescent="0.25">
      <c r="A52" s="1139" t="s">
        <v>3</v>
      </c>
      <c r="B52" s="2"/>
      <c r="C52" s="1156" t="s">
        <v>1513</v>
      </c>
      <c r="D52" s="141">
        <f>SUM(D53:D56)</f>
        <v>0</v>
      </c>
      <c r="E52" s="141">
        <f t="shared" ref="E52:F52" si="4">SUM(E53:E56)</f>
        <v>89</v>
      </c>
      <c r="F52" s="141">
        <f t="shared" si="4"/>
        <v>500</v>
      </c>
      <c r="G52" s="141">
        <f>F52/E52*100</f>
        <v>561.79775280898878</v>
      </c>
    </row>
    <row r="53" spans="1:7" s="96" customFormat="1" ht="15" customHeight="1" x14ac:dyDescent="0.2">
      <c r="A53" s="113"/>
      <c r="B53" s="1165" t="s">
        <v>4</v>
      </c>
      <c r="C53" s="1151" t="s">
        <v>1173</v>
      </c>
      <c r="D53" s="147">
        <v>0</v>
      </c>
      <c r="E53" s="147">
        <v>89</v>
      </c>
      <c r="F53" s="147">
        <v>500</v>
      </c>
      <c r="G53" s="147">
        <f>F53/E53*100</f>
        <v>561.79775280898878</v>
      </c>
    </row>
    <row r="54" spans="1:7" s="99" customFormat="1" ht="15" customHeight="1" x14ac:dyDescent="0.2">
      <c r="A54" s="97"/>
      <c r="B54" s="1166" t="s">
        <v>6</v>
      </c>
      <c r="C54" s="1144" t="s">
        <v>64</v>
      </c>
      <c r="D54" s="142">
        <v>0</v>
      </c>
      <c r="E54" s="142">
        <v>0</v>
      </c>
      <c r="F54" s="142">
        <v>0</v>
      </c>
      <c r="G54" s="142"/>
    </row>
    <row r="55" spans="1:7" s="99" customFormat="1" ht="15.75" thickBot="1" x14ac:dyDescent="0.25">
      <c r="A55" s="97"/>
      <c r="B55" s="1166" t="s">
        <v>7</v>
      </c>
      <c r="C55" s="1144" t="s">
        <v>1500</v>
      </c>
      <c r="D55" s="142">
        <v>0</v>
      </c>
      <c r="E55" s="142">
        <v>0</v>
      </c>
      <c r="F55" s="142">
        <v>0</v>
      </c>
      <c r="G55" s="142"/>
    </row>
    <row r="56" spans="1:7" s="99" customFormat="1" ht="15" hidden="1" customHeight="1" x14ac:dyDescent="0.2">
      <c r="A56" s="97"/>
      <c r="B56" s="109" t="s">
        <v>11</v>
      </c>
      <c r="C56" s="3" t="s">
        <v>513</v>
      </c>
      <c r="D56" s="142">
        <v>0</v>
      </c>
      <c r="E56" s="142">
        <v>0</v>
      </c>
      <c r="F56" s="142">
        <v>0</v>
      </c>
      <c r="G56" s="142"/>
    </row>
    <row r="57" spans="1:7" s="99" customFormat="1" ht="15" hidden="1" customHeight="1" x14ac:dyDescent="0.2">
      <c r="A57" s="93" t="s">
        <v>12</v>
      </c>
      <c r="B57" s="2"/>
      <c r="C57" s="10" t="s">
        <v>514</v>
      </c>
      <c r="D57" s="119">
        <v>0</v>
      </c>
      <c r="E57" s="119">
        <v>0</v>
      </c>
      <c r="F57" s="119">
        <v>0</v>
      </c>
      <c r="G57" s="119"/>
    </row>
    <row r="58" spans="1:7" s="99" customFormat="1" ht="15" hidden="1" customHeight="1" x14ac:dyDescent="0.2">
      <c r="A58" s="93"/>
      <c r="B58" s="2"/>
      <c r="C58" s="10" t="s">
        <v>515</v>
      </c>
      <c r="D58" s="119"/>
      <c r="E58" s="119"/>
      <c r="F58" s="119"/>
      <c r="G58" s="119"/>
    </row>
    <row r="59" spans="1:7" s="99" customFormat="1" ht="15" customHeight="1" thickBot="1" x14ac:dyDescent="0.25">
      <c r="A59" s="150" t="s">
        <v>12</v>
      </c>
      <c r="B59" s="151"/>
      <c r="C59" s="354" t="s">
        <v>1501</v>
      </c>
      <c r="D59" s="152">
        <f>+D46+D52+D57</f>
        <v>92448</v>
      </c>
      <c r="E59" s="152">
        <f t="shared" ref="E59" si="5">+E46+E52+E57</f>
        <v>99184</v>
      </c>
      <c r="F59" s="152">
        <f>+F46+F52+F57+F58</f>
        <v>124500</v>
      </c>
      <c r="G59" s="152">
        <f>F59/E59*100</f>
        <v>125.52427810937247</v>
      </c>
    </row>
    <row r="60" spans="1:7" s="99" customFormat="1" ht="15" customHeight="1" thickBot="1" x14ac:dyDescent="0.25">
      <c r="A60" s="131"/>
      <c r="B60" s="132"/>
      <c r="C60" s="132"/>
      <c r="D60" s="132"/>
      <c r="E60" s="132"/>
      <c r="F60" s="132"/>
      <c r="G60" s="132"/>
    </row>
    <row r="61" spans="1:7" s="99" customFormat="1" ht="15" customHeight="1" x14ac:dyDescent="0.2">
      <c r="A61" s="133" t="s">
        <v>136</v>
      </c>
      <c r="B61" s="134"/>
      <c r="C61" s="135"/>
      <c r="D61" s="136">
        <v>31.5</v>
      </c>
      <c r="E61" s="136">
        <v>31.5</v>
      </c>
      <c r="F61" s="136">
        <v>34.5</v>
      </c>
      <c r="G61" s="136"/>
    </row>
    <row r="62" spans="1:7" s="99" customFormat="1" ht="15" customHeight="1" x14ac:dyDescent="0.2">
      <c r="A62" s="133" t="s">
        <v>137</v>
      </c>
      <c r="B62" s="134"/>
      <c r="C62" s="135"/>
      <c r="D62" s="356"/>
      <c r="E62" s="356"/>
      <c r="F62" s="356"/>
      <c r="G62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23622047244094491" right="0.19685039370078741" top="0.35433070866141736" bottom="0.39370078740157483" header="0.15748031496062992" footer="0.15748031496062992"/>
  <pageSetup paperSize="9" scale="69" firstPageNumber="75" orientation="portrait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2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4" style="76" customWidth="1"/>
    <col min="4" max="4" width="13.5" style="76" hidden="1" customWidth="1"/>
    <col min="5" max="5" width="13.6640625" style="76" hidden="1" customWidth="1"/>
    <col min="6" max="6" width="19.5" style="76" customWidth="1"/>
    <col min="7" max="7" width="1.1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1806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564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41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" si="0">SUM(E9:E18)</f>
        <v>0</v>
      </c>
      <c r="F8" s="141">
        <f>SUM(F9:F18)</f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88468</v>
      </c>
      <c r="E19" s="141">
        <f t="shared" ref="E19" si="1">SUM(E20:E25)</f>
        <v>91119</v>
      </c>
      <c r="F19" s="141">
        <f>SUM(F20:F25)</f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88468</v>
      </c>
      <c r="E20" s="142">
        <v>91119</v>
      </c>
      <c r="F20" s="142"/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30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f>SUM(F27)</f>
        <v>0</v>
      </c>
      <c r="G26" s="119"/>
    </row>
    <row r="27" spans="1:7" s="99" customFormat="1" ht="30.7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78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f>SUM(F29:F31)</f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f>SUM(F33:F33)</f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42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9">
        <f>SUM(F35)</f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7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120</v>
      </c>
      <c r="F36" s="148">
        <f>SUM(F37:F39)</f>
        <v>124500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120</v>
      </c>
      <c r="F37" s="149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2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3980</v>
      </c>
      <c r="E39" s="119">
        <v>7945</v>
      </c>
      <c r="F39" s="1174">
        <f>SUM(F40:F41)</f>
        <v>124500</v>
      </c>
      <c r="G39" s="119">
        <f>F39/E39*100</f>
        <v>1567.0232850849591</v>
      </c>
      <c r="I39" s="110">
        <f>SUM(F59-F43)</f>
        <v>0</v>
      </c>
    </row>
    <row r="40" spans="1:9" s="99" customFormat="1" ht="15" customHeight="1" thickBot="1" x14ac:dyDescent="0.25">
      <c r="A40" s="1408"/>
      <c r="B40" s="1413" t="s">
        <v>1777</v>
      </c>
      <c r="C40" s="1414" t="s">
        <v>1775</v>
      </c>
      <c r="D40" s="1415"/>
      <c r="E40" s="1415"/>
      <c r="F40" s="1416">
        <v>114428</v>
      </c>
      <c r="G40" s="1224"/>
      <c r="I40" s="110"/>
    </row>
    <row r="41" spans="1:9" s="99" customFormat="1" ht="15" customHeight="1" thickBot="1" x14ac:dyDescent="0.25">
      <c r="A41" s="1408"/>
      <c r="B41" s="1417" t="s">
        <v>1778</v>
      </c>
      <c r="C41" s="1418" t="s">
        <v>1776</v>
      </c>
      <c r="D41" s="1419"/>
      <c r="E41" s="1419"/>
      <c r="F41" s="1420">
        <v>10072</v>
      </c>
      <c r="G41" s="1224"/>
      <c r="I41" s="110"/>
    </row>
    <row r="42" spans="1:9" s="99" customFormat="1" ht="15" hidden="1" customHeight="1" thickBot="1" x14ac:dyDescent="0.3">
      <c r="A42" s="116"/>
      <c r="B42" s="117"/>
      <c r="C42" s="2" t="s">
        <v>542</v>
      </c>
      <c r="D42" s="119"/>
      <c r="E42" s="119"/>
      <c r="F42" s="119"/>
      <c r="G42" s="119"/>
    </row>
    <row r="43" spans="1:9" s="99" customFormat="1" ht="15" customHeight="1" thickBot="1" x14ac:dyDescent="0.25">
      <c r="A43" s="150" t="s">
        <v>38</v>
      </c>
      <c r="B43" s="151"/>
      <c r="C43" s="354" t="s">
        <v>510</v>
      </c>
      <c r="D43" s="152">
        <f>SUM(D8,D19,D26,D28,D36,D39)</f>
        <v>92448</v>
      </c>
      <c r="E43" s="152">
        <f>SUM(E8,E19,E26,E28,E36,E39)</f>
        <v>99184</v>
      </c>
      <c r="F43" s="152">
        <f>SUM(F8,F19,F26,F28,F36)</f>
        <v>124500</v>
      </c>
      <c r="G43" s="152">
        <f>F43/E43*100</f>
        <v>125.52427810937247</v>
      </c>
      <c r="I43" s="409">
        <f>SUM(D59-D43)</f>
        <v>0</v>
      </c>
    </row>
    <row r="44" spans="1:9" s="99" customFormat="1" ht="15" customHeight="1" thickBot="1" x14ac:dyDescent="0.25">
      <c r="A44" s="336"/>
      <c r="B44" s="336"/>
      <c r="C44" s="355"/>
      <c r="D44" s="388"/>
      <c r="E44" s="388"/>
      <c r="F44" s="388"/>
      <c r="G44" s="388"/>
    </row>
    <row r="45" spans="1:9" s="411" customFormat="1" ht="15" customHeight="1" thickBot="1" x14ac:dyDescent="0.25">
      <c r="A45" s="150"/>
      <c r="B45" s="151"/>
      <c r="C45" s="387" t="s">
        <v>82</v>
      </c>
      <c r="D45" s="152"/>
      <c r="E45" s="152"/>
      <c r="F45" s="152"/>
      <c r="G45" s="152"/>
    </row>
    <row r="46" spans="1:9" s="96" customFormat="1" ht="15" customHeight="1" thickBot="1" x14ac:dyDescent="0.25">
      <c r="A46" s="1132" t="s">
        <v>2</v>
      </c>
      <c r="B46" s="2"/>
      <c r="C46" s="1156" t="s">
        <v>49</v>
      </c>
      <c r="D46" s="141">
        <f>SUM(D47:D51)</f>
        <v>92448</v>
      </c>
      <c r="E46" s="141">
        <f t="shared" ref="E46:F46" si="3">SUM(E47:E51)</f>
        <v>99095</v>
      </c>
      <c r="F46" s="141">
        <f t="shared" si="3"/>
        <v>124000</v>
      </c>
      <c r="G46" s="141">
        <f>F46/E46*100</f>
        <v>125.13244866037641</v>
      </c>
    </row>
    <row r="47" spans="1:9" s="99" customFormat="1" ht="15" customHeight="1" x14ac:dyDescent="0.2">
      <c r="A47" s="113"/>
      <c r="B47" s="1165" t="s">
        <v>50</v>
      </c>
      <c r="C47" s="7" t="s">
        <v>51</v>
      </c>
      <c r="D47" s="147">
        <v>63435</v>
      </c>
      <c r="E47" s="147">
        <v>68371</v>
      </c>
      <c r="F47" s="147">
        <v>89244</v>
      </c>
      <c r="G47" s="147"/>
    </row>
    <row r="48" spans="1:9" s="99" customFormat="1" ht="15" customHeight="1" x14ac:dyDescent="0.2">
      <c r="A48" s="97"/>
      <c r="B48" s="1166" t="s">
        <v>52</v>
      </c>
      <c r="C48" s="3" t="s">
        <v>53</v>
      </c>
      <c r="D48" s="142">
        <v>16960</v>
      </c>
      <c r="E48" s="142">
        <v>18293</v>
      </c>
      <c r="F48" s="142">
        <v>24467</v>
      </c>
      <c r="G48" s="142"/>
    </row>
    <row r="49" spans="1:7" s="99" customFormat="1" ht="15" customHeight="1" x14ac:dyDescent="0.2">
      <c r="A49" s="97"/>
      <c r="B49" s="1166" t="s">
        <v>54</v>
      </c>
      <c r="C49" s="3" t="s">
        <v>55</v>
      </c>
      <c r="D49" s="142">
        <v>12053</v>
      </c>
      <c r="E49" s="142">
        <v>12431</v>
      </c>
      <c r="F49" s="142">
        <v>10289</v>
      </c>
      <c r="G49" s="142"/>
    </row>
    <row r="50" spans="1:7" s="99" customFormat="1" ht="15" customHeight="1" x14ac:dyDescent="0.2">
      <c r="A50" s="97"/>
      <c r="B50" s="1166" t="s">
        <v>56</v>
      </c>
      <c r="C50" s="3" t="s">
        <v>57</v>
      </c>
      <c r="D50" s="142">
        <v>0</v>
      </c>
      <c r="E50" s="142">
        <v>0</v>
      </c>
      <c r="F50" s="142">
        <v>0</v>
      </c>
      <c r="G50" s="142"/>
    </row>
    <row r="51" spans="1:7" s="99" customFormat="1" ht="15" customHeight="1" thickBot="1" x14ac:dyDescent="0.25">
      <c r="A51" s="97"/>
      <c r="B51" s="1166" t="s">
        <v>227</v>
      </c>
      <c r="C51" s="3" t="s">
        <v>59</v>
      </c>
      <c r="D51" s="142">
        <v>0</v>
      </c>
      <c r="E51" s="142">
        <v>0</v>
      </c>
      <c r="F51" s="142">
        <v>0</v>
      </c>
      <c r="G51" s="142"/>
    </row>
    <row r="52" spans="1:7" s="99" customFormat="1" ht="15" customHeight="1" thickBot="1" x14ac:dyDescent="0.25">
      <c r="A52" s="1139" t="s">
        <v>3</v>
      </c>
      <c r="B52" s="2"/>
      <c r="C52" s="1156" t="s">
        <v>1513</v>
      </c>
      <c r="D52" s="141">
        <f>SUM(D53:D56)</f>
        <v>0</v>
      </c>
      <c r="E52" s="141">
        <f t="shared" ref="E52:F52" si="4">SUM(E53:E56)</f>
        <v>89</v>
      </c>
      <c r="F52" s="141">
        <f t="shared" si="4"/>
        <v>500</v>
      </c>
      <c r="G52" s="141">
        <f>F52/E52*100</f>
        <v>561.79775280898878</v>
      </c>
    </row>
    <row r="53" spans="1:7" s="96" customFormat="1" ht="15" customHeight="1" x14ac:dyDescent="0.2">
      <c r="A53" s="113"/>
      <c r="B53" s="1165" t="s">
        <v>4</v>
      </c>
      <c r="C53" s="1151" t="s">
        <v>1173</v>
      </c>
      <c r="D53" s="147">
        <v>0</v>
      </c>
      <c r="E53" s="147">
        <v>89</v>
      </c>
      <c r="F53" s="147">
        <v>500</v>
      </c>
      <c r="G53" s="147">
        <f>F53/E53*100</f>
        <v>561.79775280898878</v>
      </c>
    </row>
    <row r="54" spans="1:7" s="99" customFormat="1" ht="15" customHeight="1" x14ac:dyDescent="0.2">
      <c r="A54" s="97"/>
      <c r="B54" s="1166" t="s">
        <v>6</v>
      </c>
      <c r="C54" s="1144" t="s">
        <v>64</v>
      </c>
      <c r="D54" s="142">
        <v>0</v>
      </c>
      <c r="E54" s="142">
        <v>0</v>
      </c>
      <c r="F54" s="142">
        <v>0</v>
      </c>
      <c r="G54" s="142"/>
    </row>
    <row r="55" spans="1:7" s="99" customFormat="1" ht="15.75" thickBot="1" x14ac:dyDescent="0.25">
      <c r="A55" s="97"/>
      <c r="B55" s="1166" t="s">
        <v>7</v>
      </c>
      <c r="C55" s="1144" t="s">
        <v>1500</v>
      </c>
      <c r="D55" s="142">
        <v>0</v>
      </c>
      <c r="E55" s="142">
        <v>0</v>
      </c>
      <c r="F55" s="142">
        <v>0</v>
      </c>
      <c r="G55" s="142"/>
    </row>
    <row r="56" spans="1:7" s="99" customFormat="1" ht="15" hidden="1" customHeight="1" thickBot="1" x14ac:dyDescent="0.25">
      <c r="A56" s="97"/>
      <c r="B56" s="109" t="s">
        <v>11</v>
      </c>
      <c r="C56" s="3" t="s">
        <v>513</v>
      </c>
      <c r="D56" s="142">
        <v>0</v>
      </c>
      <c r="E56" s="142">
        <v>0</v>
      </c>
      <c r="F56" s="142">
        <v>0</v>
      </c>
      <c r="G56" s="142"/>
    </row>
    <row r="57" spans="1:7" s="99" customFormat="1" ht="15" hidden="1" customHeight="1" thickBot="1" x14ac:dyDescent="0.25">
      <c r="A57" s="1132" t="s">
        <v>12</v>
      </c>
      <c r="B57" s="2"/>
      <c r="C57" s="10" t="s">
        <v>514</v>
      </c>
      <c r="D57" s="119">
        <v>0</v>
      </c>
      <c r="E57" s="119">
        <v>0</v>
      </c>
      <c r="F57" s="119">
        <v>0</v>
      </c>
      <c r="G57" s="119"/>
    </row>
    <row r="58" spans="1:7" s="99" customFormat="1" ht="15" hidden="1" customHeight="1" thickBot="1" x14ac:dyDescent="0.25">
      <c r="A58" s="1132"/>
      <c r="B58" s="2"/>
      <c r="C58" s="10" t="s">
        <v>515</v>
      </c>
      <c r="D58" s="119"/>
      <c r="E58" s="119"/>
      <c r="F58" s="119"/>
      <c r="G58" s="119"/>
    </row>
    <row r="59" spans="1:7" s="99" customFormat="1" ht="15" customHeight="1" thickBot="1" x14ac:dyDescent="0.25">
      <c r="A59" s="150" t="s">
        <v>12</v>
      </c>
      <c r="B59" s="151"/>
      <c r="C59" s="354" t="s">
        <v>1501</v>
      </c>
      <c r="D59" s="152">
        <f>+D46+D52+D57</f>
        <v>92448</v>
      </c>
      <c r="E59" s="152">
        <f t="shared" ref="E59" si="5">+E46+E52+E57</f>
        <v>99184</v>
      </c>
      <c r="F59" s="152">
        <f>+F46+F52+F57+F58</f>
        <v>124500</v>
      </c>
      <c r="G59" s="152">
        <f>F59/E59*100</f>
        <v>125.52427810937247</v>
      </c>
    </row>
    <row r="60" spans="1:7" s="99" customFormat="1" ht="15" customHeight="1" thickBot="1" x14ac:dyDescent="0.25">
      <c r="A60" s="131"/>
      <c r="B60" s="132"/>
      <c r="C60" s="132"/>
      <c r="D60" s="132"/>
      <c r="E60" s="132"/>
      <c r="F60" s="132"/>
      <c r="G60" s="132"/>
    </row>
    <row r="61" spans="1:7" s="99" customFormat="1" ht="15" customHeight="1" thickBot="1" x14ac:dyDescent="0.25">
      <c r="A61" s="133" t="s">
        <v>136</v>
      </c>
      <c r="B61" s="134"/>
      <c r="C61" s="135"/>
      <c r="D61" s="136">
        <v>31.5</v>
      </c>
      <c r="E61" s="136">
        <v>31.5</v>
      </c>
      <c r="F61" s="136">
        <v>34.5</v>
      </c>
      <c r="G61" s="136"/>
    </row>
    <row r="62" spans="1:7" s="99" customFormat="1" ht="15" customHeight="1" thickBot="1" x14ac:dyDescent="0.25">
      <c r="A62" s="133" t="s">
        <v>137</v>
      </c>
      <c r="B62" s="134"/>
      <c r="C62" s="135"/>
      <c r="D62" s="356"/>
      <c r="E62" s="356"/>
      <c r="F62" s="356"/>
      <c r="G62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3622047244094491" right="0.19685039370078741" top="0.35433070866141736" bottom="0.39370078740157483" header="0.15748031496062992" footer="0.15748031496062992"/>
  <pageSetup paperSize="9" scale="68" firstPageNumber="75" orientation="portrait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0"/>
  <sheetViews>
    <sheetView view="pageBreakPreview" topLeftCell="A23" zoomScaleNormal="130" workbookViewId="0">
      <selection activeCell="I35" sqref="I35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4" style="76" customWidth="1"/>
    <col min="4" max="4" width="13.5" style="76" hidden="1" customWidth="1"/>
    <col min="5" max="5" width="13.6640625" style="76" hidden="1" customWidth="1"/>
    <col min="6" max="6" width="19.83203125" style="76" customWidth="1"/>
    <col min="7" max="7" width="2.6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1807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564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1511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41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88468</v>
      </c>
      <c r="E19" s="141">
        <f t="shared" ref="E19" si="1">SUM(E20:E25)</f>
        <v>91119</v>
      </c>
      <c r="F19" s="141">
        <f>SUM(F20:F25)</f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88468</v>
      </c>
      <c r="E20" s="142">
        <v>91119</v>
      </c>
      <c r="F20" s="142">
        <v>0</v>
      </c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f>SUM(F29:F31)</f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f>SUM(F33:F33)</f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1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120</v>
      </c>
      <c r="F36" s="148">
        <f>SUM(F37:F39)</f>
        <v>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120</v>
      </c>
      <c r="F37" s="1174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2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3980</v>
      </c>
      <c r="E39" s="119">
        <v>7945</v>
      </c>
      <c r="F39" s="1174">
        <v>0</v>
      </c>
      <c r="G39" s="119">
        <f>F39/E39*100</f>
        <v>0</v>
      </c>
      <c r="I39" s="110">
        <f>SUM(F57-F41)</f>
        <v>0</v>
      </c>
    </row>
    <row r="40" spans="1:9" s="99" customFormat="1" ht="15" hidden="1" customHeight="1" thickBot="1" x14ac:dyDescent="0.3">
      <c r="A40" s="116"/>
      <c r="B40" s="117"/>
      <c r="C40" s="2" t="s">
        <v>542</v>
      </c>
      <c r="D40" s="119"/>
      <c r="E40" s="119"/>
      <c r="F40" s="119"/>
      <c r="G40" s="119"/>
    </row>
    <row r="41" spans="1:9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SUM(D8,D19,D26,D28,D36,D39)</f>
        <v>92448</v>
      </c>
      <c r="E41" s="152">
        <f>SUM(E8,E19,E26,E28,E36,E39)</f>
        <v>99184</v>
      </c>
      <c r="F41" s="152">
        <f>SUM(F8,F19,F26,F28,F32,F34,F36)</f>
        <v>0</v>
      </c>
      <c r="G41" s="152">
        <f>F41/E41*100</f>
        <v>0</v>
      </c>
      <c r="I41" s="409">
        <f>SUM(D57-D41)</f>
        <v>0</v>
      </c>
    </row>
    <row r="42" spans="1:9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</row>
    <row r="43" spans="1:9" s="411" customFormat="1" ht="15" customHeight="1" thickBot="1" x14ac:dyDescent="0.25">
      <c r="A43" s="150"/>
      <c r="B43" s="151"/>
      <c r="C43" s="387" t="s">
        <v>82</v>
      </c>
      <c r="D43" s="152"/>
      <c r="E43" s="152"/>
      <c r="F43" s="152"/>
      <c r="G43" s="152"/>
    </row>
    <row r="44" spans="1:9" s="96" customFormat="1" ht="15" customHeight="1" thickBot="1" x14ac:dyDescent="0.25">
      <c r="A44" s="1132" t="s">
        <v>2</v>
      </c>
      <c r="B44" s="2"/>
      <c r="C44" s="1156" t="s">
        <v>49</v>
      </c>
      <c r="D44" s="141">
        <f>SUM(D45:D49)</f>
        <v>92448</v>
      </c>
      <c r="E44" s="141">
        <f t="shared" ref="E44" si="3">SUM(E45:E49)</f>
        <v>99095</v>
      </c>
      <c r="F44" s="141">
        <f>SUM(F45:F49)</f>
        <v>0</v>
      </c>
      <c r="G44" s="141">
        <f>F44/E44*100</f>
        <v>0</v>
      </c>
    </row>
    <row r="45" spans="1:9" s="99" customFormat="1" ht="15" customHeight="1" x14ac:dyDescent="0.2">
      <c r="A45" s="113"/>
      <c r="B45" s="1165" t="s">
        <v>50</v>
      </c>
      <c r="C45" s="7" t="s">
        <v>51</v>
      </c>
      <c r="D45" s="147">
        <v>63435</v>
      </c>
      <c r="E45" s="147">
        <v>68371</v>
      </c>
      <c r="F45" s="147">
        <v>0</v>
      </c>
      <c r="G45" s="147"/>
    </row>
    <row r="46" spans="1:9" s="99" customFormat="1" ht="15" customHeight="1" x14ac:dyDescent="0.2">
      <c r="A46" s="97"/>
      <c r="B46" s="1166" t="s">
        <v>52</v>
      </c>
      <c r="C46" s="3" t="s">
        <v>53</v>
      </c>
      <c r="D46" s="142">
        <v>16960</v>
      </c>
      <c r="E46" s="142">
        <v>18293</v>
      </c>
      <c r="F46" s="142">
        <v>0</v>
      </c>
      <c r="G46" s="142"/>
    </row>
    <row r="47" spans="1:9" s="99" customFormat="1" ht="15" customHeight="1" x14ac:dyDescent="0.2">
      <c r="A47" s="97"/>
      <c r="B47" s="1166" t="s">
        <v>54</v>
      </c>
      <c r="C47" s="3" t="s">
        <v>55</v>
      </c>
      <c r="D47" s="142">
        <v>12053</v>
      </c>
      <c r="E47" s="142">
        <v>12431</v>
      </c>
      <c r="F47" s="142">
        <v>0</v>
      </c>
      <c r="G47" s="142"/>
    </row>
    <row r="48" spans="1:9" s="99" customFormat="1" ht="15" customHeight="1" x14ac:dyDescent="0.2">
      <c r="A48" s="97"/>
      <c r="B48" s="1166" t="s">
        <v>56</v>
      </c>
      <c r="C48" s="3" t="s">
        <v>57</v>
      </c>
      <c r="D48" s="142">
        <v>0</v>
      </c>
      <c r="E48" s="142">
        <v>0</v>
      </c>
      <c r="F48" s="142">
        <v>0</v>
      </c>
      <c r="G48" s="142"/>
    </row>
    <row r="49" spans="1:7" s="99" customFormat="1" ht="15" customHeight="1" thickBot="1" x14ac:dyDescent="0.25">
      <c r="A49" s="97"/>
      <c r="B49" s="1166" t="s">
        <v>227</v>
      </c>
      <c r="C49" s="3" t="s">
        <v>59</v>
      </c>
      <c r="D49" s="142">
        <v>0</v>
      </c>
      <c r="E49" s="142">
        <v>0</v>
      </c>
      <c r="F49" s="142">
        <v>0</v>
      </c>
      <c r="G49" s="142"/>
    </row>
    <row r="50" spans="1:7" s="99" customFormat="1" ht="15" customHeight="1" thickBot="1" x14ac:dyDescent="0.25">
      <c r="A50" s="1139" t="s">
        <v>3</v>
      </c>
      <c r="B50" s="2"/>
      <c r="C50" s="1156" t="s">
        <v>1513</v>
      </c>
      <c r="D50" s="141">
        <f>SUM(D51:D54)</f>
        <v>0</v>
      </c>
      <c r="E50" s="141">
        <f t="shared" ref="E50" si="4">SUM(E51:E54)</f>
        <v>89</v>
      </c>
      <c r="F50" s="141">
        <f>SUM(F51:F54)</f>
        <v>0</v>
      </c>
      <c r="G50" s="141">
        <f>F50/E50*100</f>
        <v>0</v>
      </c>
    </row>
    <row r="51" spans="1:7" s="96" customFormat="1" ht="15" customHeight="1" x14ac:dyDescent="0.2">
      <c r="A51" s="113"/>
      <c r="B51" s="1165" t="s">
        <v>4</v>
      </c>
      <c r="C51" s="1151" t="s">
        <v>1173</v>
      </c>
      <c r="D51" s="147">
        <v>0</v>
      </c>
      <c r="E51" s="147">
        <v>89</v>
      </c>
      <c r="F51" s="147">
        <v>0</v>
      </c>
      <c r="G51" s="147">
        <f>F51/E51*100</f>
        <v>0</v>
      </c>
    </row>
    <row r="52" spans="1:7" s="99" customFormat="1" ht="15" customHeight="1" x14ac:dyDescent="0.2">
      <c r="A52" s="97"/>
      <c r="B52" s="1166" t="s">
        <v>6</v>
      </c>
      <c r="C52" s="1144" t="s">
        <v>64</v>
      </c>
      <c r="D52" s="142">
        <v>0</v>
      </c>
      <c r="E52" s="142">
        <v>0</v>
      </c>
      <c r="F52" s="142">
        <v>0</v>
      </c>
      <c r="G52" s="142"/>
    </row>
    <row r="53" spans="1:7" s="99" customFormat="1" ht="15.75" thickBot="1" x14ac:dyDescent="0.25">
      <c r="A53" s="97"/>
      <c r="B53" s="1166" t="s">
        <v>7</v>
      </c>
      <c r="C53" s="1144" t="s">
        <v>1500</v>
      </c>
      <c r="D53" s="142">
        <v>0</v>
      </c>
      <c r="E53" s="142">
        <v>0</v>
      </c>
      <c r="F53" s="142">
        <v>0</v>
      </c>
      <c r="G53" s="142"/>
    </row>
    <row r="54" spans="1:7" s="99" customFormat="1" ht="15" hidden="1" customHeight="1" thickBot="1" x14ac:dyDescent="0.25">
      <c r="A54" s="97"/>
      <c r="B54" s="109" t="s">
        <v>11</v>
      </c>
      <c r="C54" s="3" t="s">
        <v>513</v>
      </c>
      <c r="D54" s="142">
        <v>0</v>
      </c>
      <c r="E54" s="142">
        <v>0</v>
      </c>
      <c r="F54" s="142">
        <v>0</v>
      </c>
      <c r="G54" s="142"/>
    </row>
    <row r="55" spans="1:7" s="99" customFormat="1" ht="15" hidden="1" customHeight="1" thickBot="1" x14ac:dyDescent="0.25">
      <c r="A55" s="1132" t="s">
        <v>12</v>
      </c>
      <c r="B55" s="2"/>
      <c r="C55" s="10" t="s">
        <v>514</v>
      </c>
      <c r="D55" s="119">
        <v>0</v>
      </c>
      <c r="E55" s="119">
        <v>0</v>
      </c>
      <c r="F55" s="119">
        <v>0</v>
      </c>
      <c r="G55" s="119"/>
    </row>
    <row r="56" spans="1:7" s="99" customFormat="1" ht="15" hidden="1" customHeight="1" thickBot="1" x14ac:dyDescent="0.25">
      <c r="A56" s="1132"/>
      <c r="B56" s="2"/>
      <c r="C56" s="10" t="s">
        <v>515</v>
      </c>
      <c r="D56" s="119"/>
      <c r="E56" s="119"/>
      <c r="F56" s="119"/>
      <c r="G56" s="119"/>
    </row>
    <row r="57" spans="1:7" s="99" customFormat="1" ht="15" customHeight="1" thickBot="1" x14ac:dyDescent="0.25">
      <c r="A57" s="150" t="s">
        <v>12</v>
      </c>
      <c r="B57" s="151"/>
      <c r="C57" s="354" t="s">
        <v>1501</v>
      </c>
      <c r="D57" s="152">
        <f>+D44+D50+D55</f>
        <v>92448</v>
      </c>
      <c r="E57" s="152">
        <f t="shared" ref="E57" si="5">+E44+E50+E55</f>
        <v>99184</v>
      </c>
      <c r="F57" s="152">
        <f>+F44+F50+F55+F56</f>
        <v>0</v>
      </c>
      <c r="G57" s="152">
        <f>F57/E57*100</f>
        <v>0</v>
      </c>
    </row>
    <row r="58" spans="1:7" s="99" customFormat="1" ht="15" customHeight="1" thickBot="1" x14ac:dyDescent="0.25">
      <c r="A58" s="131"/>
      <c r="B58" s="132"/>
      <c r="C58" s="132"/>
      <c r="D58" s="132"/>
      <c r="E58" s="132"/>
      <c r="F58" s="132"/>
      <c r="G58" s="132"/>
    </row>
    <row r="59" spans="1:7" s="99" customFormat="1" ht="15" customHeight="1" thickBot="1" x14ac:dyDescent="0.25">
      <c r="A59" s="133" t="s">
        <v>136</v>
      </c>
      <c r="B59" s="134"/>
      <c r="C59" s="135"/>
      <c r="D59" s="136">
        <v>31.5</v>
      </c>
      <c r="E59" s="136">
        <v>31.5</v>
      </c>
      <c r="F59" s="136"/>
      <c r="G59" s="136"/>
    </row>
    <row r="60" spans="1:7" s="99" customFormat="1" ht="15" customHeight="1" thickBot="1" x14ac:dyDescent="0.25">
      <c r="A60" s="133" t="s">
        <v>137</v>
      </c>
      <c r="B60" s="134"/>
      <c r="C60" s="135"/>
      <c r="D60" s="356"/>
      <c r="E60" s="356"/>
      <c r="F60" s="356"/>
      <c r="G60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3622047244094491" right="0.19685039370078741" top="0.35433070866141736" bottom="0.39370078740157483" header="0.15748031496062992" footer="0.15748031496062992"/>
  <pageSetup paperSize="9" scale="69" firstPageNumber="75" orientation="portrait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0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4" style="76" customWidth="1"/>
    <col min="4" max="4" width="13.5" style="76" hidden="1" customWidth="1"/>
    <col min="5" max="5" width="13.6640625" style="76" hidden="1" customWidth="1"/>
    <col min="6" max="6" width="19.33203125" style="76" customWidth="1"/>
    <col min="7" max="7" width="2.6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1808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564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1509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41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0</v>
      </c>
      <c r="E8" s="141">
        <f t="shared" ref="E8:F8" si="0">SUM(E9:E18)</f>
        <v>0</v>
      </c>
      <c r="F8" s="141">
        <f t="shared" si="0"/>
        <v>0</v>
      </c>
      <c r="G8" s="141"/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172"/>
      <c r="B14" s="98" t="s">
        <v>228</v>
      </c>
      <c r="C14" s="1144" t="s">
        <v>1477</v>
      </c>
      <c r="D14" s="143">
        <v>0</v>
      </c>
      <c r="E14" s="143">
        <v>0</v>
      </c>
      <c r="F14" s="142">
        <v>0</v>
      </c>
      <c r="G14" s="143"/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>
        <v>0</v>
      </c>
      <c r="E16" s="142">
        <v>0</v>
      </c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1139" t="s">
        <v>3</v>
      </c>
      <c r="B19" s="94"/>
      <c r="C19" s="1142" t="s">
        <v>1482</v>
      </c>
      <c r="D19" s="141">
        <f>SUM(D20:D25)</f>
        <v>88468</v>
      </c>
      <c r="E19" s="141">
        <f t="shared" ref="E19" si="1">SUM(E20:E25)</f>
        <v>91119</v>
      </c>
      <c r="F19" s="141">
        <f>SUM(F20:F25)</f>
        <v>0</v>
      </c>
      <c r="G19" s="141">
        <f>F19/E19*100</f>
        <v>0</v>
      </c>
    </row>
    <row r="20" spans="1:7" s="99" customFormat="1" ht="30" customHeight="1" x14ac:dyDescent="0.2">
      <c r="A20" s="97"/>
      <c r="B20" s="98" t="s">
        <v>4</v>
      </c>
      <c r="C20" s="1151" t="s">
        <v>1483</v>
      </c>
      <c r="D20" s="142">
        <v>88468</v>
      </c>
      <c r="E20" s="142">
        <v>91119</v>
      </c>
      <c r="F20" s="142">
        <v>0</v>
      </c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178"/>
      <c r="E27" s="1178"/>
      <c r="F27" s="1186">
        <v>0</v>
      </c>
      <c r="G27" s="1178"/>
    </row>
    <row r="28" spans="1:7" s="96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f>SUM(F29:F31)</f>
        <v>0</v>
      </c>
      <c r="G28" s="119"/>
    </row>
    <row r="29" spans="1:7" s="96" customFormat="1" ht="15" customHeight="1" thickBot="1" x14ac:dyDescent="0.25">
      <c r="A29" s="1140"/>
      <c r="B29" s="1160" t="s">
        <v>133</v>
      </c>
      <c r="C29" s="1144" t="s">
        <v>1489</v>
      </c>
      <c r="D29" s="1181"/>
      <c r="E29" s="1181"/>
      <c r="F29" s="142">
        <v>0</v>
      </c>
      <c r="G29" s="1181"/>
    </row>
    <row r="30" spans="1:7" s="96" customFormat="1" ht="15" customHeight="1" thickBot="1" x14ac:dyDescent="0.25">
      <c r="A30" s="100"/>
      <c r="B30" s="1160" t="s">
        <v>983</v>
      </c>
      <c r="C30" s="1144" t="s">
        <v>1490</v>
      </c>
      <c r="D30" s="1181"/>
      <c r="E30" s="1181"/>
      <c r="F30" s="1174">
        <v>0</v>
      </c>
      <c r="G30" s="1181"/>
    </row>
    <row r="31" spans="1:7" s="96" customFormat="1" ht="15" customHeight="1" thickBot="1" x14ac:dyDescent="0.25">
      <c r="A31" s="1141"/>
      <c r="B31" s="1160" t="s">
        <v>149</v>
      </c>
      <c r="C31" s="1144" t="s">
        <v>1491</v>
      </c>
      <c r="D31" s="1181"/>
      <c r="E31" s="1181"/>
      <c r="F31" s="142">
        <v>0</v>
      </c>
      <c r="G31" s="1181"/>
    </row>
    <row r="32" spans="1:7" s="96" customFormat="1" ht="29.25" thickBot="1" x14ac:dyDescent="0.25">
      <c r="A32" s="1139" t="s">
        <v>27</v>
      </c>
      <c r="B32" s="1161"/>
      <c r="C32" s="1156" t="s">
        <v>1506</v>
      </c>
      <c r="D32" s="1181"/>
      <c r="E32" s="1181"/>
      <c r="F32" s="1181">
        <f>SUM(F33:F33)</f>
        <v>0</v>
      </c>
      <c r="G32" s="1181"/>
    </row>
    <row r="33" spans="1:9" s="96" customFormat="1" ht="30.75" thickBot="1" x14ac:dyDescent="0.25">
      <c r="A33" s="100"/>
      <c r="B33" s="1162" t="s">
        <v>28</v>
      </c>
      <c r="C33" s="1151" t="s">
        <v>1492</v>
      </c>
      <c r="D33" s="1181"/>
      <c r="E33" s="1181"/>
      <c r="F33" s="1174">
        <v>0</v>
      </c>
      <c r="G33" s="1181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181"/>
      <c r="E34" s="1181"/>
      <c r="F34" s="1181">
        <v>0</v>
      </c>
      <c r="G34" s="1181"/>
    </row>
    <row r="35" spans="1:9" s="96" customFormat="1" ht="30.75" thickBot="1" x14ac:dyDescent="0.25">
      <c r="A35" s="1180"/>
      <c r="B35" s="1164" t="s">
        <v>33</v>
      </c>
      <c r="C35" s="1144" t="s">
        <v>1494</v>
      </c>
      <c r="D35" s="1181"/>
      <c r="E35" s="1181"/>
      <c r="F35" s="1187">
        <v>0</v>
      </c>
      <c r="G35" s="1181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120</v>
      </c>
      <c r="F36" s="148">
        <f>+F37+F38+SUM(F37:F39)</f>
        <v>0</v>
      </c>
      <c r="G36" s="148"/>
    </row>
    <row r="37" spans="1:9" s="96" customFormat="1" ht="15" customHeight="1" x14ac:dyDescent="0.2">
      <c r="A37" s="1140"/>
      <c r="B37" s="1160" t="s">
        <v>36</v>
      </c>
      <c r="C37" s="1144" t="s">
        <v>1496</v>
      </c>
      <c r="D37" s="149">
        <v>0</v>
      </c>
      <c r="E37" s="149">
        <v>120</v>
      </c>
      <c r="F37" s="1174">
        <v>0</v>
      </c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2">
        <v>0</v>
      </c>
      <c r="G38" s="146"/>
    </row>
    <row r="39" spans="1:9" s="99" customFormat="1" ht="15" customHeight="1" thickBot="1" x14ac:dyDescent="0.25">
      <c r="A39" s="1141"/>
      <c r="B39" s="1160" t="s">
        <v>1499</v>
      </c>
      <c r="C39" s="1144" t="s">
        <v>1498</v>
      </c>
      <c r="D39" s="119">
        <v>3980</v>
      </c>
      <c r="E39" s="119">
        <v>7945</v>
      </c>
      <c r="F39" s="1174">
        <v>0</v>
      </c>
      <c r="G39" s="119">
        <f>F39/E39*100</f>
        <v>0</v>
      </c>
      <c r="I39" s="110">
        <f>SUM(F57-F41)</f>
        <v>0</v>
      </c>
    </row>
    <row r="40" spans="1:9" s="99" customFormat="1" ht="15" hidden="1" customHeight="1" thickBot="1" x14ac:dyDescent="0.3">
      <c r="A40" s="116"/>
      <c r="B40" s="117"/>
      <c r="C40" s="2" t="s">
        <v>542</v>
      </c>
      <c r="D40" s="119"/>
      <c r="E40" s="119"/>
      <c r="F40" s="119"/>
      <c r="G40" s="119"/>
    </row>
    <row r="41" spans="1:9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SUM(D8,D19,D26,D28,D36,D39)</f>
        <v>92448</v>
      </c>
      <c r="E41" s="152">
        <f>SUM(E8,E19,E26,E28,E36,E39)</f>
        <v>99184</v>
      </c>
      <c r="F41" s="152">
        <f>SUM(F8,F19,F26,F28,F32,F34,F36)</f>
        <v>0</v>
      </c>
      <c r="G41" s="152">
        <f>F41/E41*100</f>
        <v>0</v>
      </c>
      <c r="I41" s="409">
        <f>SUM(D57-D41)</f>
        <v>0</v>
      </c>
    </row>
    <row r="42" spans="1:9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</row>
    <row r="43" spans="1:9" s="411" customFormat="1" ht="15" customHeight="1" thickBot="1" x14ac:dyDescent="0.25">
      <c r="A43" s="150"/>
      <c r="B43" s="151"/>
      <c r="C43" s="387" t="s">
        <v>82</v>
      </c>
      <c r="D43" s="152"/>
      <c r="E43" s="152"/>
      <c r="F43" s="152"/>
      <c r="G43" s="152"/>
    </row>
    <row r="44" spans="1:9" s="96" customFormat="1" ht="15" customHeight="1" thickBot="1" x14ac:dyDescent="0.25">
      <c r="A44" s="1132" t="s">
        <v>2</v>
      </c>
      <c r="B44" s="2"/>
      <c r="C44" s="1156" t="s">
        <v>49</v>
      </c>
      <c r="D44" s="141">
        <f>SUM(D45:D49)</f>
        <v>92448</v>
      </c>
      <c r="E44" s="141">
        <f t="shared" ref="E44:F44" si="3">SUM(E45:E49)</f>
        <v>99095</v>
      </c>
      <c r="F44" s="141">
        <f t="shared" si="3"/>
        <v>0</v>
      </c>
      <c r="G44" s="141">
        <f>F44/E44*100</f>
        <v>0</v>
      </c>
    </row>
    <row r="45" spans="1:9" s="99" customFormat="1" ht="15" customHeight="1" x14ac:dyDescent="0.2">
      <c r="A45" s="113"/>
      <c r="B45" s="1165" t="s">
        <v>50</v>
      </c>
      <c r="C45" s="7" t="s">
        <v>51</v>
      </c>
      <c r="D45" s="147">
        <v>63435</v>
      </c>
      <c r="E45" s="147">
        <v>68371</v>
      </c>
      <c r="F45" s="147">
        <v>0</v>
      </c>
      <c r="G45" s="147"/>
    </row>
    <row r="46" spans="1:9" s="99" customFormat="1" ht="15" customHeight="1" x14ac:dyDescent="0.2">
      <c r="A46" s="97"/>
      <c r="B46" s="1166" t="s">
        <v>52</v>
      </c>
      <c r="C46" s="3" t="s">
        <v>53</v>
      </c>
      <c r="D46" s="142">
        <v>16960</v>
      </c>
      <c r="E46" s="142">
        <v>18293</v>
      </c>
      <c r="F46" s="142">
        <v>0</v>
      </c>
      <c r="G46" s="142"/>
    </row>
    <row r="47" spans="1:9" s="99" customFormat="1" ht="15" customHeight="1" x14ac:dyDescent="0.2">
      <c r="A47" s="97"/>
      <c r="B47" s="1166" t="s">
        <v>54</v>
      </c>
      <c r="C47" s="3" t="s">
        <v>55</v>
      </c>
      <c r="D47" s="142">
        <v>12053</v>
      </c>
      <c r="E47" s="142">
        <v>12431</v>
      </c>
      <c r="F47" s="142">
        <v>0</v>
      </c>
      <c r="G47" s="142"/>
    </row>
    <row r="48" spans="1:9" s="99" customFormat="1" ht="15" customHeight="1" x14ac:dyDescent="0.2">
      <c r="A48" s="97"/>
      <c r="B48" s="1166" t="s">
        <v>56</v>
      </c>
      <c r="C48" s="3" t="s">
        <v>57</v>
      </c>
      <c r="D48" s="142">
        <v>0</v>
      </c>
      <c r="E48" s="142">
        <v>0</v>
      </c>
      <c r="F48" s="142">
        <v>0</v>
      </c>
      <c r="G48" s="142"/>
    </row>
    <row r="49" spans="1:7" s="99" customFormat="1" ht="15" customHeight="1" thickBot="1" x14ac:dyDescent="0.25">
      <c r="A49" s="97"/>
      <c r="B49" s="1166" t="s">
        <v>227</v>
      </c>
      <c r="C49" s="3" t="s">
        <v>59</v>
      </c>
      <c r="D49" s="142">
        <v>0</v>
      </c>
      <c r="E49" s="142">
        <v>0</v>
      </c>
      <c r="F49" s="142">
        <v>0</v>
      </c>
      <c r="G49" s="142"/>
    </row>
    <row r="50" spans="1:7" s="99" customFormat="1" ht="15" customHeight="1" thickBot="1" x14ac:dyDescent="0.25">
      <c r="A50" s="1139" t="s">
        <v>3</v>
      </c>
      <c r="B50" s="2"/>
      <c r="C50" s="1156" t="s">
        <v>1513</v>
      </c>
      <c r="D50" s="141">
        <f>SUM(D51:D54)</f>
        <v>0</v>
      </c>
      <c r="E50" s="141">
        <f t="shared" ref="E50:F50" si="4">SUM(E51:E54)</f>
        <v>89</v>
      </c>
      <c r="F50" s="141">
        <f t="shared" si="4"/>
        <v>0</v>
      </c>
      <c r="G50" s="141">
        <f>F50/E50*100</f>
        <v>0</v>
      </c>
    </row>
    <row r="51" spans="1:7" s="96" customFormat="1" ht="15" customHeight="1" x14ac:dyDescent="0.2">
      <c r="A51" s="113"/>
      <c r="B51" s="1165" t="s">
        <v>4</v>
      </c>
      <c r="C51" s="1151" t="s">
        <v>1173</v>
      </c>
      <c r="D51" s="147">
        <v>0</v>
      </c>
      <c r="E51" s="147">
        <v>89</v>
      </c>
      <c r="F51" s="147">
        <v>0</v>
      </c>
      <c r="G51" s="147">
        <f>F51/E51*100</f>
        <v>0</v>
      </c>
    </row>
    <row r="52" spans="1:7" s="99" customFormat="1" ht="15" customHeight="1" x14ac:dyDescent="0.2">
      <c r="A52" s="97"/>
      <c r="B52" s="1166" t="s">
        <v>6</v>
      </c>
      <c r="C52" s="1144" t="s">
        <v>64</v>
      </c>
      <c r="D52" s="142">
        <v>0</v>
      </c>
      <c r="E52" s="142">
        <v>0</v>
      </c>
      <c r="F52" s="142">
        <v>0</v>
      </c>
      <c r="G52" s="142"/>
    </row>
    <row r="53" spans="1:7" s="99" customFormat="1" ht="15.75" thickBot="1" x14ac:dyDescent="0.25">
      <c r="A53" s="97"/>
      <c r="B53" s="1166" t="s">
        <v>7</v>
      </c>
      <c r="C53" s="1144" t="s">
        <v>1500</v>
      </c>
      <c r="D53" s="142">
        <v>0</v>
      </c>
      <c r="E53" s="142">
        <v>0</v>
      </c>
      <c r="F53" s="142">
        <v>0</v>
      </c>
      <c r="G53" s="142"/>
    </row>
    <row r="54" spans="1:7" s="99" customFormat="1" ht="15" hidden="1" customHeight="1" thickBot="1" x14ac:dyDescent="0.25">
      <c r="A54" s="97"/>
      <c r="B54" s="109" t="s">
        <v>11</v>
      </c>
      <c r="C54" s="3" t="s">
        <v>513</v>
      </c>
      <c r="D54" s="142">
        <v>0</v>
      </c>
      <c r="E54" s="142">
        <v>0</v>
      </c>
      <c r="F54" s="142">
        <v>0</v>
      </c>
      <c r="G54" s="142"/>
    </row>
    <row r="55" spans="1:7" s="99" customFormat="1" ht="15" hidden="1" customHeight="1" thickBot="1" x14ac:dyDescent="0.25">
      <c r="A55" s="1132" t="s">
        <v>12</v>
      </c>
      <c r="B55" s="2"/>
      <c r="C55" s="10" t="s">
        <v>514</v>
      </c>
      <c r="D55" s="119">
        <v>0</v>
      </c>
      <c r="E55" s="119">
        <v>0</v>
      </c>
      <c r="F55" s="119">
        <v>0</v>
      </c>
      <c r="G55" s="119"/>
    </row>
    <row r="56" spans="1:7" s="99" customFormat="1" ht="15" hidden="1" customHeight="1" thickBot="1" x14ac:dyDescent="0.25">
      <c r="A56" s="1132"/>
      <c r="B56" s="2"/>
      <c r="C56" s="10" t="s">
        <v>515</v>
      </c>
      <c r="D56" s="119"/>
      <c r="E56" s="119"/>
      <c r="F56" s="119"/>
      <c r="G56" s="119"/>
    </row>
    <row r="57" spans="1:7" s="99" customFormat="1" ht="15" customHeight="1" thickBot="1" x14ac:dyDescent="0.25">
      <c r="A57" s="150" t="s">
        <v>12</v>
      </c>
      <c r="B57" s="151"/>
      <c r="C57" s="354" t="s">
        <v>1501</v>
      </c>
      <c r="D57" s="152">
        <f>+D44+D50+D55</f>
        <v>92448</v>
      </c>
      <c r="E57" s="152">
        <f t="shared" ref="E57" si="5">+E44+E50+E55</f>
        <v>99184</v>
      </c>
      <c r="F57" s="152">
        <f>+F44+F50+F55+F56</f>
        <v>0</v>
      </c>
      <c r="G57" s="152">
        <f>F57/E57*100</f>
        <v>0</v>
      </c>
    </row>
    <row r="58" spans="1:7" s="99" customFormat="1" ht="15" customHeight="1" thickBot="1" x14ac:dyDescent="0.25">
      <c r="A58" s="131"/>
      <c r="B58" s="132"/>
      <c r="C58" s="132"/>
      <c r="D58" s="132"/>
      <c r="E58" s="132"/>
      <c r="F58" s="132"/>
      <c r="G58" s="132"/>
    </row>
    <row r="59" spans="1:7" s="99" customFormat="1" ht="15" customHeight="1" thickBot="1" x14ac:dyDescent="0.25">
      <c r="A59" s="133" t="s">
        <v>136</v>
      </c>
      <c r="B59" s="134"/>
      <c r="C59" s="135"/>
      <c r="D59" s="136">
        <v>31.5</v>
      </c>
      <c r="E59" s="136">
        <v>31.5</v>
      </c>
      <c r="F59" s="136"/>
      <c r="G59" s="136"/>
    </row>
    <row r="60" spans="1:7" s="99" customFormat="1" ht="15" customHeight="1" thickBot="1" x14ac:dyDescent="0.25">
      <c r="A60" s="133" t="s">
        <v>137</v>
      </c>
      <c r="B60" s="134"/>
      <c r="C60" s="135"/>
      <c r="D60" s="356"/>
      <c r="E60" s="356"/>
      <c r="F60" s="356"/>
      <c r="G60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3622047244094491" right="0.19685039370078741" top="0.35433070866141736" bottom="0.39370078740157483" header="0.15748031496062992" footer="0.15748031496062992"/>
  <pageSetup paperSize="9" scale="69" firstPageNumber="75" orientation="portrait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6"/>
  <sheetViews>
    <sheetView view="pageBreakPreview" zoomScaleNormal="130" zoomScaleSheetLayoutView="10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" style="76" customWidth="1"/>
    <col min="4" max="4" width="15.6640625" style="76" hidden="1" customWidth="1"/>
    <col min="5" max="5" width="14.5" style="76" hidden="1" customWidth="1"/>
    <col min="6" max="6" width="20.1640625" style="76" customWidth="1"/>
    <col min="7" max="7" width="9.5" style="76" hidden="1" customWidth="1"/>
    <col min="8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555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565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x14ac:dyDescent="0.2">
      <c r="A3" s="1554" t="s">
        <v>122</v>
      </c>
      <c r="B3" s="1554"/>
      <c r="C3" s="1167" t="s">
        <v>1515</v>
      </c>
      <c r="D3" s="1524"/>
      <c r="E3" s="327"/>
      <c r="F3" s="1524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197239</v>
      </c>
      <c r="E8" s="141">
        <f t="shared" ref="E8:F8" si="0">SUM(E9:E18)</f>
        <v>197239</v>
      </c>
      <c r="F8" s="141">
        <f t="shared" si="0"/>
        <v>224342</v>
      </c>
      <c r="G8" s="141">
        <f>F8/E8*100</f>
        <v>113.74119722772879</v>
      </c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155306</v>
      </c>
      <c r="E10" s="142">
        <v>155306</v>
      </c>
      <c r="F10" s="142">
        <v>176647</v>
      </c>
      <c r="G10" s="142">
        <f>F10/E10*100</f>
        <v>113.74125919153155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41933</v>
      </c>
      <c r="E14" s="143">
        <v>41933</v>
      </c>
      <c r="F14" s="142">
        <v>47695</v>
      </c>
      <c r="G14" s="143">
        <f>F14/E14*100</f>
        <v>113.74096773424272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8.5" x14ac:dyDescent="0.2">
      <c r="A19" s="1139" t="s">
        <v>3</v>
      </c>
      <c r="B19" s="94"/>
      <c r="C19" s="1142" t="s">
        <v>1482</v>
      </c>
      <c r="D19" s="141">
        <f>SUM(D20:D25)</f>
        <v>45331</v>
      </c>
      <c r="E19" s="141">
        <f t="shared" ref="E19:F19" si="1">SUM(E20:E25)</f>
        <v>47120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45331</v>
      </c>
      <c r="E20" s="142">
        <v>47120</v>
      </c>
      <c r="F20" s="142"/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/>
      <c r="E21" s="142"/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19">
        <v>0</v>
      </c>
      <c r="G26" s="143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</row>
    <row r="31" spans="1:7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</row>
    <row r="32" spans="1:7" s="96" customFormat="1" ht="15" hidden="1" customHeight="1" thickBot="1" x14ac:dyDescent="0.25">
      <c r="A32" s="93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27" hidden="1" customHeight="1" thickBot="1" x14ac:dyDescent="0.25">
      <c r="A33" s="93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9028</v>
      </c>
      <c r="F33" s="148">
        <f t="shared" si="2"/>
        <v>0</v>
      </c>
      <c r="G33" s="148">
        <f>F33/E33*100</f>
        <v>0</v>
      </c>
    </row>
    <row r="34" spans="1:10" s="96" customFormat="1" ht="15" hidden="1" customHeight="1" thickBot="1" x14ac:dyDescent="0.25">
      <c r="A34" s="102"/>
      <c r="B34" s="108" t="s">
        <v>28</v>
      </c>
      <c r="C34" s="4" t="s">
        <v>507</v>
      </c>
      <c r="D34" s="149">
        <v>0</v>
      </c>
      <c r="E34" s="149">
        <v>9028</v>
      </c>
      <c r="F34" s="149"/>
      <c r="G34" s="149">
        <f>F34/E34*100</f>
        <v>0</v>
      </c>
    </row>
    <row r="35" spans="1:10" s="96" customFormat="1" ht="15" hidden="1" customHeight="1" x14ac:dyDescent="0.2">
      <c r="A35" s="111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</row>
    <row r="37" spans="1:10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42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</row>
    <row r="39" spans="1:10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85">
        <f>SUM(F41:F43)</f>
        <v>66058</v>
      </c>
      <c r="G40" s="1185"/>
    </row>
    <row r="41" spans="1:10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</row>
    <row r="43" spans="1:10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16267</v>
      </c>
      <c r="E43" s="119">
        <v>20412</v>
      </c>
      <c r="F43" s="142">
        <f>SUM(F44:F45)</f>
        <v>66058</v>
      </c>
      <c r="G43" s="119">
        <f>F43/E43*100</f>
        <v>323.62335880854397</v>
      </c>
      <c r="J43" s="110">
        <f>SUM(F63-F47)</f>
        <v>0</v>
      </c>
    </row>
    <row r="44" spans="1:10" s="99" customFormat="1" ht="15" customHeight="1" thickBot="1" x14ac:dyDescent="0.25">
      <c r="A44" s="1408"/>
      <c r="B44" s="1409" t="s">
        <v>1777</v>
      </c>
      <c r="C44" s="1410" t="s">
        <v>1775</v>
      </c>
      <c r="D44" s="1224"/>
      <c r="E44" s="1224"/>
      <c r="F44" s="1412">
        <v>47008</v>
      </c>
      <c r="G44" s="1224"/>
      <c r="J44" s="110"/>
    </row>
    <row r="45" spans="1:10" s="99" customFormat="1" ht="15" customHeight="1" thickBot="1" x14ac:dyDescent="0.25">
      <c r="A45" s="1408"/>
      <c r="B45" s="1409" t="s">
        <v>1778</v>
      </c>
      <c r="C45" s="1410" t="s">
        <v>1776</v>
      </c>
      <c r="D45" s="1224"/>
      <c r="E45" s="1224"/>
      <c r="F45" s="1412">
        <v>19050</v>
      </c>
      <c r="G45" s="1224"/>
      <c r="J45" s="110"/>
    </row>
    <row r="46" spans="1:10" s="99" customFormat="1" ht="15" hidden="1" customHeight="1" thickBot="1" x14ac:dyDescent="0.3">
      <c r="A46" s="116"/>
      <c r="B46" s="117"/>
      <c r="C46" s="2" t="s">
        <v>542</v>
      </c>
      <c r="D46" s="119"/>
      <c r="E46" s="119"/>
      <c r="F46" s="119"/>
      <c r="G46" s="119"/>
    </row>
    <row r="47" spans="1:10" s="99" customFormat="1" ht="15" customHeight="1" thickBot="1" x14ac:dyDescent="0.25">
      <c r="A47" s="150" t="s">
        <v>38</v>
      </c>
      <c r="B47" s="151"/>
      <c r="C47" s="354" t="s">
        <v>510</v>
      </c>
      <c r="D47" s="152">
        <f>SUM(D8,D19,D28,D32,D33,D43)</f>
        <v>258837</v>
      </c>
      <c r="E47" s="152">
        <f>SUM(E8,E19,E28,E32,E33,E43)</f>
        <v>273799</v>
      </c>
      <c r="F47" s="152">
        <f>SUM(F8,F19,F28,F32,F33,F36,F38,F40)</f>
        <v>290400</v>
      </c>
      <c r="G47" s="152">
        <f>F47/E47*100</f>
        <v>106.06320695108455</v>
      </c>
      <c r="I47" s="409">
        <f>SUM(D63-D47)</f>
        <v>0</v>
      </c>
    </row>
    <row r="48" spans="1:10" s="99" customFormat="1" ht="15" customHeight="1" thickBot="1" x14ac:dyDescent="0.25">
      <c r="A48" s="336"/>
      <c r="B48" s="336"/>
      <c r="C48" s="355"/>
      <c r="D48" s="388"/>
      <c r="E48" s="388"/>
      <c r="F48" s="388"/>
      <c r="G48" s="388"/>
    </row>
    <row r="49" spans="1:7" s="411" customFormat="1" ht="15" customHeight="1" x14ac:dyDescent="0.2">
      <c r="A49" s="150"/>
      <c r="B49" s="151"/>
      <c r="C49" s="387" t="s">
        <v>82</v>
      </c>
      <c r="D49" s="152"/>
      <c r="E49" s="152"/>
      <c r="F49" s="152"/>
      <c r="G49" s="152"/>
    </row>
    <row r="50" spans="1:7" s="96" customFormat="1" ht="15" customHeight="1" x14ac:dyDescent="0.2">
      <c r="A50" s="93" t="s">
        <v>2</v>
      </c>
      <c r="B50" s="2"/>
      <c r="C50" s="1156" t="s">
        <v>49</v>
      </c>
      <c r="D50" s="141">
        <f>SUM(D51:D55)</f>
        <v>258837</v>
      </c>
      <c r="E50" s="141">
        <f t="shared" ref="E50:F50" si="3">SUM(E51:E55)</f>
        <v>273555</v>
      </c>
      <c r="F50" s="141">
        <f t="shared" si="3"/>
        <v>290400</v>
      </c>
      <c r="G50" s="141">
        <f>F50/E50*100</f>
        <v>106.15781104348304</v>
      </c>
    </row>
    <row r="51" spans="1:7" s="99" customFormat="1" ht="15" customHeight="1" x14ac:dyDescent="0.2">
      <c r="A51" s="113"/>
      <c r="B51" s="1165" t="s">
        <v>50</v>
      </c>
      <c r="C51" s="7" t="s">
        <v>51</v>
      </c>
      <c r="D51" s="147">
        <v>35918</v>
      </c>
      <c r="E51" s="147">
        <v>38855</v>
      </c>
      <c r="F51" s="147">
        <v>36163</v>
      </c>
      <c r="G51" s="147">
        <f>F51/E51*100</f>
        <v>93.071676746879433</v>
      </c>
    </row>
    <row r="52" spans="1:7" s="99" customFormat="1" ht="15" customHeight="1" x14ac:dyDescent="0.2">
      <c r="A52" s="97"/>
      <c r="B52" s="1166" t="s">
        <v>52</v>
      </c>
      <c r="C52" s="3" t="s">
        <v>53</v>
      </c>
      <c r="D52" s="142">
        <v>9491</v>
      </c>
      <c r="E52" s="142">
        <v>10284</v>
      </c>
      <c r="F52" s="142">
        <v>10053</v>
      </c>
      <c r="G52" s="142">
        <f>F52/E52*100</f>
        <v>97.753792298716462</v>
      </c>
    </row>
    <row r="53" spans="1:7" s="99" customFormat="1" ht="15" customHeight="1" x14ac:dyDescent="0.2">
      <c r="A53" s="97"/>
      <c r="B53" s="1166" t="s">
        <v>54</v>
      </c>
      <c r="C53" s="3" t="s">
        <v>55</v>
      </c>
      <c r="D53" s="142">
        <v>213428</v>
      </c>
      <c r="E53" s="142">
        <v>224416</v>
      </c>
      <c r="F53" s="142">
        <v>244184</v>
      </c>
      <c r="G53" s="142">
        <f>F53/E53*100</f>
        <v>108.80864109510908</v>
      </c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x14ac:dyDescent="0.2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x14ac:dyDescent="0.2">
      <c r="A56" s="1139" t="s">
        <v>3</v>
      </c>
      <c r="B56" s="2"/>
      <c r="C56" s="1156" t="s">
        <v>1513</v>
      </c>
      <c r="D56" s="141">
        <f>SUM(D57:D60)</f>
        <v>0</v>
      </c>
      <c r="E56" s="141">
        <f t="shared" ref="E56:F56" si="4">SUM(E57:E60)</f>
        <v>244</v>
      </c>
      <c r="F56" s="141">
        <f t="shared" si="4"/>
        <v>0</v>
      </c>
      <c r="G56" s="141">
        <f>F56/E56*100</f>
        <v>0</v>
      </c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244</v>
      </c>
      <c r="F57" s="147">
        <v>0</v>
      </c>
      <c r="G57" s="147">
        <f>F57/E57*100</f>
        <v>0</v>
      </c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x14ac:dyDescent="0.2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x14ac:dyDescent="0.2">
      <c r="A61" s="93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x14ac:dyDescent="0.2">
      <c r="A62" s="93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+D50+D56+D61</f>
        <v>258837</v>
      </c>
      <c r="E63" s="152">
        <f t="shared" ref="E63" si="5">+E50+E56+E61</f>
        <v>273799</v>
      </c>
      <c r="F63" s="152">
        <f>+F50+F56+F61+F62</f>
        <v>290400</v>
      </c>
      <c r="G63" s="152">
        <f>F63/E63*100</f>
        <v>106.06320695108455</v>
      </c>
    </row>
    <row r="64" spans="1:7" s="99" customFormat="1" ht="15" customHeight="1" thickBot="1" x14ac:dyDescent="0.25">
      <c r="A64" s="131"/>
      <c r="B64" s="132"/>
      <c r="C64" s="132"/>
      <c r="D64" s="132"/>
      <c r="E64" s="132"/>
      <c r="F64" s="132"/>
      <c r="G64" s="132"/>
    </row>
    <row r="65" spans="1:7" s="99" customFormat="1" ht="15" customHeight="1" x14ac:dyDescent="0.2">
      <c r="A65" s="133" t="s">
        <v>136</v>
      </c>
      <c r="B65" s="134"/>
      <c r="C65" s="135"/>
      <c r="D65" s="136">
        <v>25</v>
      </c>
      <c r="E65" s="136">
        <v>25</v>
      </c>
      <c r="F65" s="136">
        <v>25</v>
      </c>
      <c r="G65" s="136"/>
    </row>
    <row r="66" spans="1:7" s="99" customFormat="1" ht="15" customHeight="1" x14ac:dyDescent="0.2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19685039370078741" right="0.31496062992125984" top="0.35433070866141736" bottom="0.43307086614173229" header="0.15748031496062992" footer="0.15748031496062992"/>
  <pageSetup paperSize="9" scale="70" firstPageNumber="76" orientation="portrait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6"/>
  <sheetViews>
    <sheetView view="pageBreakPreview" zoomScale="110" zoomScaleNormal="130" zoomScaleSheetLayoutView="11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" style="76" customWidth="1"/>
    <col min="4" max="4" width="15.6640625" style="76" hidden="1" customWidth="1"/>
    <col min="5" max="5" width="14.5" style="76" hidden="1" customWidth="1"/>
    <col min="6" max="6" width="20.1640625" style="76" customWidth="1"/>
    <col min="7" max="7" width="9.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1809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565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1514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197239</v>
      </c>
      <c r="E8" s="141">
        <f t="shared" ref="E8:F8" si="0">SUM(E9:E18)</f>
        <v>197239</v>
      </c>
      <c r="F8" s="141">
        <f t="shared" si="0"/>
        <v>224342</v>
      </c>
      <c r="G8" s="141">
        <f>F8/E8*100</f>
        <v>113.74119722772879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155306</v>
      </c>
      <c r="E10" s="142">
        <v>155306</v>
      </c>
      <c r="F10" s="142">
        <v>176647</v>
      </c>
      <c r="G10" s="142">
        <f>F10/E10*100</f>
        <v>113.74125919153155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41933</v>
      </c>
      <c r="E14" s="143">
        <v>41933</v>
      </c>
      <c r="F14" s="142">
        <v>47695</v>
      </c>
      <c r="G14" s="143">
        <f>F14/E14*100</f>
        <v>113.74096773424272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45331</v>
      </c>
      <c r="E19" s="141">
        <f t="shared" ref="E19:F19" si="1">SUM(E20:E25)</f>
        <v>47120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45331</v>
      </c>
      <c r="E20" s="142">
        <v>47120</v>
      </c>
      <c r="F20" s="142"/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/>
      <c r="E21" s="142"/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19">
        <v>0</v>
      </c>
      <c r="G26" s="143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42">
        <v>0</v>
      </c>
      <c r="G30" s="1178"/>
    </row>
    <row r="31" spans="1:7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</row>
    <row r="32" spans="1:7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27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9028</v>
      </c>
      <c r="F33" s="148">
        <f t="shared" si="2"/>
        <v>0</v>
      </c>
      <c r="G33" s="148">
        <f>F33/E33*100</f>
        <v>0</v>
      </c>
    </row>
    <row r="34" spans="1:10" s="96" customFormat="1" ht="15" hidden="1" customHeight="1" thickBot="1" x14ac:dyDescent="0.25">
      <c r="A34" s="1133"/>
      <c r="B34" s="108" t="s">
        <v>28</v>
      </c>
      <c r="C34" s="4" t="s">
        <v>507</v>
      </c>
      <c r="D34" s="149">
        <v>0</v>
      </c>
      <c r="E34" s="149">
        <v>9028</v>
      </c>
      <c r="F34" s="149"/>
      <c r="G34" s="149">
        <f>F34/E34*100</f>
        <v>0</v>
      </c>
    </row>
    <row r="35" spans="1:10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</row>
    <row r="37" spans="1:10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193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</row>
    <row r="39" spans="1:10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2">
        <f>SUM(F41:F43)</f>
        <v>66058</v>
      </c>
      <c r="G40" s="1185"/>
    </row>
    <row r="41" spans="1:10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42">
        <v>0</v>
      </c>
      <c r="G42" s="1185"/>
    </row>
    <row r="43" spans="1:10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16267</v>
      </c>
      <c r="E43" s="119">
        <v>20412</v>
      </c>
      <c r="F43" s="142">
        <f>SUM(F44:F45)</f>
        <v>66058</v>
      </c>
      <c r="G43" s="119">
        <f>F43/E43*100</f>
        <v>323.62335880854397</v>
      </c>
      <c r="J43" s="110">
        <f>SUM(F63-F47)</f>
        <v>0</v>
      </c>
    </row>
    <row r="44" spans="1:10" s="99" customFormat="1" ht="15" customHeight="1" thickBot="1" x14ac:dyDescent="0.25">
      <c r="A44" s="1408"/>
      <c r="B44" s="1409" t="s">
        <v>1777</v>
      </c>
      <c r="C44" s="1410" t="s">
        <v>1775</v>
      </c>
      <c r="D44" s="1224"/>
      <c r="E44" s="1224"/>
      <c r="F44" s="1412">
        <v>47008</v>
      </c>
      <c r="G44" s="1224"/>
      <c r="J44" s="110"/>
    </row>
    <row r="45" spans="1:10" s="99" customFormat="1" ht="15" customHeight="1" thickBot="1" x14ac:dyDescent="0.25">
      <c r="A45" s="1408"/>
      <c r="B45" s="1409" t="s">
        <v>1778</v>
      </c>
      <c r="C45" s="1410" t="s">
        <v>1776</v>
      </c>
      <c r="D45" s="1224"/>
      <c r="E45" s="1224"/>
      <c r="F45" s="1412">
        <v>19050</v>
      </c>
      <c r="G45" s="1224"/>
      <c r="J45" s="110"/>
    </row>
    <row r="46" spans="1:10" s="99" customFormat="1" ht="15" hidden="1" customHeight="1" thickBot="1" x14ac:dyDescent="0.3">
      <c r="A46" s="116"/>
      <c r="B46" s="117"/>
      <c r="C46" s="2" t="s">
        <v>542</v>
      </c>
      <c r="D46" s="119"/>
      <c r="E46" s="119"/>
      <c r="F46" s="119"/>
      <c r="G46" s="119"/>
    </row>
    <row r="47" spans="1:10" s="99" customFormat="1" ht="15" customHeight="1" thickBot="1" x14ac:dyDescent="0.25">
      <c r="A47" s="150" t="s">
        <v>38</v>
      </c>
      <c r="B47" s="151"/>
      <c r="C47" s="354" t="s">
        <v>510</v>
      </c>
      <c r="D47" s="152">
        <f>SUM(D8,D19,D28,D32,D33,D43)</f>
        <v>258837</v>
      </c>
      <c r="E47" s="152">
        <f>SUM(E8,E19,E28,E32,E33,E43)</f>
        <v>273799</v>
      </c>
      <c r="F47" s="152">
        <f>SUM(F8,F19,F28,F32,F33,F36,F38,F40)</f>
        <v>290400</v>
      </c>
      <c r="G47" s="152">
        <f>F47/E47*100</f>
        <v>106.06320695108455</v>
      </c>
      <c r="I47" s="409">
        <f>SUM(D63-D47)</f>
        <v>0</v>
      </c>
    </row>
    <row r="48" spans="1:10" s="99" customFormat="1" ht="15" customHeight="1" thickBot="1" x14ac:dyDescent="0.25">
      <c r="A48" s="336"/>
      <c r="B48" s="336"/>
      <c r="C48" s="355"/>
      <c r="D48" s="388"/>
      <c r="E48" s="388"/>
      <c r="F48" s="388"/>
      <c r="G48" s="388"/>
    </row>
    <row r="49" spans="1:7" s="411" customFormat="1" ht="15" customHeight="1" thickBot="1" x14ac:dyDescent="0.25">
      <c r="A49" s="150"/>
      <c r="B49" s="151"/>
      <c r="C49" s="387" t="s">
        <v>82</v>
      </c>
      <c r="D49" s="152"/>
      <c r="E49" s="152"/>
      <c r="F49" s="152"/>
      <c r="G49" s="152"/>
    </row>
    <row r="50" spans="1:7" s="96" customFormat="1" ht="15" customHeight="1" thickBot="1" x14ac:dyDescent="0.25">
      <c r="A50" s="1132" t="s">
        <v>2</v>
      </c>
      <c r="B50" s="2"/>
      <c r="C50" s="1156" t="s">
        <v>49</v>
      </c>
      <c r="D50" s="141">
        <f>SUM(D51:D55)</f>
        <v>258837</v>
      </c>
      <c r="E50" s="141">
        <f t="shared" ref="E50:F50" si="3">SUM(E51:E55)</f>
        <v>273555</v>
      </c>
      <c r="F50" s="141">
        <f t="shared" si="3"/>
        <v>290400</v>
      </c>
      <c r="G50" s="141">
        <f>F50/E50*100</f>
        <v>106.15781104348304</v>
      </c>
    </row>
    <row r="51" spans="1:7" s="99" customFormat="1" ht="15" customHeight="1" x14ac:dyDescent="0.2">
      <c r="A51" s="113"/>
      <c r="B51" s="1165" t="s">
        <v>50</v>
      </c>
      <c r="C51" s="7" t="s">
        <v>51</v>
      </c>
      <c r="D51" s="147">
        <v>35918</v>
      </c>
      <c r="E51" s="147">
        <v>38855</v>
      </c>
      <c r="F51" s="147">
        <v>36163</v>
      </c>
      <c r="G51" s="147">
        <f>F51/E51*100</f>
        <v>93.071676746879433</v>
      </c>
    </row>
    <row r="52" spans="1:7" s="99" customFormat="1" ht="15" customHeight="1" x14ac:dyDescent="0.2">
      <c r="A52" s="97"/>
      <c r="B52" s="1166" t="s">
        <v>52</v>
      </c>
      <c r="C52" s="3" t="s">
        <v>53</v>
      </c>
      <c r="D52" s="142">
        <v>9491</v>
      </c>
      <c r="E52" s="142">
        <v>10284</v>
      </c>
      <c r="F52" s="142">
        <v>10053</v>
      </c>
      <c r="G52" s="142">
        <f>F52/E52*100</f>
        <v>97.753792298716462</v>
      </c>
    </row>
    <row r="53" spans="1:7" s="99" customFormat="1" ht="15" customHeight="1" x14ac:dyDescent="0.2">
      <c r="A53" s="97"/>
      <c r="B53" s="1166" t="s">
        <v>54</v>
      </c>
      <c r="C53" s="3" t="s">
        <v>55</v>
      </c>
      <c r="D53" s="142">
        <v>213428</v>
      </c>
      <c r="E53" s="142">
        <v>224416</v>
      </c>
      <c r="F53" s="142">
        <v>244184</v>
      </c>
      <c r="G53" s="142">
        <f>F53/E53*100</f>
        <v>108.80864109510908</v>
      </c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thickBot="1" x14ac:dyDescent="0.25">
      <c r="A56" s="1139" t="s">
        <v>3</v>
      </c>
      <c r="B56" s="2"/>
      <c r="C56" s="1156" t="s">
        <v>1513</v>
      </c>
      <c r="D56" s="141">
        <f>SUM(D57:D60)</f>
        <v>0</v>
      </c>
      <c r="E56" s="141">
        <f t="shared" ref="E56:F56" si="4">SUM(E57:E60)</f>
        <v>244</v>
      </c>
      <c r="F56" s="141">
        <f t="shared" si="4"/>
        <v>0</v>
      </c>
      <c r="G56" s="141">
        <f>F56/E56*100</f>
        <v>0</v>
      </c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244</v>
      </c>
      <c r="F57" s="147">
        <v>0</v>
      </c>
      <c r="G57" s="147">
        <f>F57/E57*100</f>
        <v>0</v>
      </c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thickBot="1" x14ac:dyDescent="0.25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thickBot="1" x14ac:dyDescent="0.25">
      <c r="A61" s="1132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thickBot="1" x14ac:dyDescent="0.25">
      <c r="A62" s="1132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+D50+D56+D61</f>
        <v>258837</v>
      </c>
      <c r="E63" s="152">
        <f t="shared" ref="E63" si="5">+E50+E56+E61</f>
        <v>273799</v>
      </c>
      <c r="F63" s="152">
        <f>+F50+F56+F61+F62</f>
        <v>290400</v>
      </c>
      <c r="G63" s="152">
        <f>F63/E63*100</f>
        <v>106.06320695108455</v>
      </c>
    </row>
    <row r="64" spans="1:7" s="99" customFormat="1" ht="15" customHeight="1" thickBot="1" x14ac:dyDescent="0.25">
      <c r="A64" s="131"/>
      <c r="B64" s="132"/>
      <c r="C64" s="132"/>
      <c r="D64" s="132"/>
      <c r="E64" s="132"/>
      <c r="F64" s="132"/>
      <c r="G64" s="132"/>
    </row>
    <row r="65" spans="1:7" s="99" customFormat="1" ht="15" customHeight="1" thickBot="1" x14ac:dyDescent="0.25">
      <c r="A65" s="133" t="s">
        <v>136</v>
      </c>
      <c r="B65" s="134"/>
      <c r="C65" s="135"/>
      <c r="D65" s="136">
        <v>25</v>
      </c>
      <c r="E65" s="136">
        <v>25</v>
      </c>
      <c r="F65" s="136">
        <v>25</v>
      </c>
      <c r="G65" s="136"/>
    </row>
    <row r="66" spans="1:7" s="99" customFormat="1" ht="15" customHeight="1" thickBot="1" x14ac:dyDescent="0.25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31496062992125984" top="0.35433070866141736" bottom="0.43307086614173229" header="0.15748031496062992" footer="0.15748031496062992"/>
  <pageSetup paperSize="9" scale="70" firstPageNumber="76" orientation="portrait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view="pageBreakPreview" zoomScale="110" zoomScaleNormal="130" zoomScaleSheetLayoutView="11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" style="76" customWidth="1"/>
    <col min="4" max="4" width="15.6640625" style="76" hidden="1" customWidth="1"/>
    <col min="5" max="5" width="14.5" style="76" hidden="1" customWidth="1"/>
    <col min="6" max="6" width="20.83203125" style="76" customWidth="1"/>
    <col min="7" max="7" width="9.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1810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565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1516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197239</v>
      </c>
      <c r="E8" s="141">
        <f t="shared" ref="E8:F8" si="0">SUM(E9:E18)</f>
        <v>197239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155306</v>
      </c>
      <c r="E10" s="142">
        <v>155306</v>
      </c>
      <c r="F10" s="142">
        <v>0</v>
      </c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41933</v>
      </c>
      <c r="E14" s="143">
        <v>41933</v>
      </c>
      <c r="F14" s="142">
        <v>0</v>
      </c>
      <c r="G14" s="143">
        <f>F14/E14*100</f>
        <v>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45331</v>
      </c>
      <c r="E19" s="141">
        <f t="shared" ref="E19:F19" si="1">SUM(E20:E25)</f>
        <v>47120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45331</v>
      </c>
      <c r="E20" s="142">
        <v>47120</v>
      </c>
      <c r="F20" s="142">
        <v>0</v>
      </c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/>
      <c r="E21" s="142"/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19">
        <v>0</v>
      </c>
      <c r="G26" s="143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</row>
    <row r="31" spans="1:7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</row>
    <row r="32" spans="1:7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27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9028</v>
      </c>
      <c r="F33" s="148">
        <f t="shared" si="2"/>
        <v>0</v>
      </c>
      <c r="G33" s="148">
        <f>F33/E33*100</f>
        <v>0</v>
      </c>
    </row>
    <row r="34" spans="1:10" s="96" customFormat="1" ht="15" hidden="1" customHeight="1" thickBot="1" x14ac:dyDescent="0.25">
      <c r="A34" s="1133"/>
      <c r="B34" s="108" t="s">
        <v>28</v>
      </c>
      <c r="C34" s="4" t="s">
        <v>507</v>
      </c>
      <c r="D34" s="149">
        <v>0</v>
      </c>
      <c r="E34" s="149">
        <v>9028</v>
      </c>
      <c r="F34" s="149"/>
      <c r="G34" s="149">
        <f>F34/E34*100</f>
        <v>0</v>
      </c>
    </row>
    <row r="35" spans="1:10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</row>
    <row r="37" spans="1:10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42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85">
        <v>0</v>
      </c>
      <c r="G38" s="1185"/>
    </row>
    <row r="39" spans="1:10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85">
        <f>SUM(F41:F43)</f>
        <v>0</v>
      </c>
      <c r="G40" s="1185"/>
    </row>
    <row r="41" spans="1:10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</row>
    <row r="43" spans="1:10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16267</v>
      </c>
      <c r="E43" s="119">
        <v>20412</v>
      </c>
      <c r="F43" s="142">
        <v>0</v>
      </c>
      <c r="G43" s="119">
        <f>F43/E43*100</f>
        <v>0</v>
      </c>
      <c r="J43" s="110">
        <f>SUM(F61-F45)</f>
        <v>0</v>
      </c>
    </row>
    <row r="44" spans="1:10" s="99" customFormat="1" ht="15" hidden="1" customHeight="1" thickBot="1" x14ac:dyDescent="0.3">
      <c r="A44" s="116"/>
      <c r="B44" s="117"/>
      <c r="C44" s="2" t="s">
        <v>542</v>
      </c>
      <c r="D44" s="119"/>
      <c r="E44" s="119"/>
      <c r="F44" s="119"/>
      <c r="G44" s="119"/>
    </row>
    <row r="45" spans="1:10" s="99" customFormat="1" ht="15" customHeight="1" thickBot="1" x14ac:dyDescent="0.25">
      <c r="A45" s="150" t="s">
        <v>38</v>
      </c>
      <c r="B45" s="151"/>
      <c r="C45" s="354" t="s">
        <v>510</v>
      </c>
      <c r="D45" s="152">
        <f>SUM(D8,D19,D28,D32,D33,D43)</f>
        <v>258837</v>
      </c>
      <c r="E45" s="152">
        <f>SUM(E8,E19,E28,E32,E33,E43)</f>
        <v>273799</v>
      </c>
      <c r="F45" s="152">
        <f>SUM(F8,F19,F28,F32,F36,F38,F33,F40)</f>
        <v>0</v>
      </c>
      <c r="G45" s="152">
        <f>F45/E45*100</f>
        <v>0</v>
      </c>
      <c r="I45" s="409">
        <f>SUM(D61-D45)</f>
        <v>0</v>
      </c>
    </row>
    <row r="46" spans="1:10" s="99" customFormat="1" ht="15" customHeight="1" thickBot="1" x14ac:dyDescent="0.25">
      <c r="A46" s="336"/>
      <c r="B46" s="336"/>
      <c r="C46" s="355"/>
      <c r="D46" s="388"/>
      <c r="E46" s="388"/>
      <c r="F46" s="388"/>
      <c r="G46" s="388"/>
    </row>
    <row r="47" spans="1:10" s="411" customFormat="1" ht="15" customHeight="1" thickBot="1" x14ac:dyDescent="0.25">
      <c r="A47" s="150"/>
      <c r="B47" s="151"/>
      <c r="C47" s="387" t="s">
        <v>82</v>
      </c>
      <c r="D47" s="152"/>
      <c r="E47" s="152"/>
      <c r="F47" s="152"/>
      <c r="G47" s="152"/>
    </row>
    <row r="48" spans="1:10" s="96" customFormat="1" ht="15" customHeight="1" thickBot="1" x14ac:dyDescent="0.25">
      <c r="A48" s="1132" t="s">
        <v>2</v>
      </c>
      <c r="B48" s="2"/>
      <c r="C48" s="1156" t="s">
        <v>49</v>
      </c>
      <c r="D48" s="141">
        <f>SUM(D49:D53)</f>
        <v>258837</v>
      </c>
      <c r="E48" s="141">
        <f t="shared" ref="E48:F48" si="3">SUM(E49:E53)</f>
        <v>273555</v>
      </c>
      <c r="F48" s="141">
        <f t="shared" si="3"/>
        <v>0</v>
      </c>
      <c r="G48" s="141">
        <f>F48/E48*100</f>
        <v>0</v>
      </c>
    </row>
    <row r="49" spans="1:7" s="99" customFormat="1" ht="15" customHeight="1" x14ac:dyDescent="0.2">
      <c r="A49" s="113"/>
      <c r="B49" s="1165" t="s">
        <v>50</v>
      </c>
      <c r="C49" s="7" t="s">
        <v>51</v>
      </c>
      <c r="D49" s="147">
        <v>35918</v>
      </c>
      <c r="E49" s="147">
        <v>38855</v>
      </c>
      <c r="F49" s="147">
        <v>0</v>
      </c>
      <c r="G49" s="147">
        <f>F49/E49*100</f>
        <v>0</v>
      </c>
    </row>
    <row r="50" spans="1:7" s="99" customFormat="1" ht="15" customHeight="1" x14ac:dyDescent="0.2">
      <c r="A50" s="97"/>
      <c r="B50" s="1166" t="s">
        <v>52</v>
      </c>
      <c r="C50" s="3" t="s">
        <v>53</v>
      </c>
      <c r="D50" s="142">
        <v>9491</v>
      </c>
      <c r="E50" s="142">
        <v>10284</v>
      </c>
      <c r="F50" s="142">
        <v>0</v>
      </c>
      <c r="G50" s="142">
        <f>F50/E50*100</f>
        <v>0</v>
      </c>
    </row>
    <row r="51" spans="1:7" s="99" customFormat="1" ht="15" customHeight="1" x14ac:dyDescent="0.2">
      <c r="A51" s="97"/>
      <c r="B51" s="1166" t="s">
        <v>54</v>
      </c>
      <c r="C51" s="3" t="s">
        <v>55</v>
      </c>
      <c r="D51" s="142">
        <v>213428</v>
      </c>
      <c r="E51" s="142">
        <v>224416</v>
      </c>
      <c r="F51" s="142">
        <v>0</v>
      </c>
      <c r="G51" s="142">
        <f>F51/E51*100</f>
        <v>0</v>
      </c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9" t="s">
        <v>3</v>
      </c>
      <c r="B54" s="2"/>
      <c r="C54" s="1156" t="s">
        <v>1513</v>
      </c>
      <c r="D54" s="141">
        <f>SUM(D55:D58)</f>
        <v>0</v>
      </c>
      <c r="E54" s="141">
        <f t="shared" ref="E54:F54" si="4">SUM(E55:E58)</f>
        <v>244</v>
      </c>
      <c r="F54" s="141">
        <f t="shared" si="4"/>
        <v>0</v>
      </c>
      <c r="G54" s="141">
        <f>F54/E54*100</f>
        <v>0</v>
      </c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244</v>
      </c>
      <c r="F55" s="147">
        <v>0</v>
      </c>
      <c r="G55" s="147">
        <f>F55/E55*100</f>
        <v>0</v>
      </c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+D48+D54+D59</f>
        <v>258837</v>
      </c>
      <c r="E61" s="152">
        <f t="shared" ref="E61" si="5">+E48+E54+E59</f>
        <v>273799</v>
      </c>
      <c r="F61" s="152">
        <f>+F48+F54+F59+F60</f>
        <v>0</v>
      </c>
      <c r="G61" s="152">
        <f>F61/E61*100</f>
        <v>0</v>
      </c>
    </row>
    <row r="62" spans="1:7" s="99" customFormat="1" ht="15" customHeight="1" thickBot="1" x14ac:dyDescent="0.25">
      <c r="A62" s="131"/>
      <c r="B62" s="132"/>
      <c r="C62" s="132"/>
      <c r="D62" s="132"/>
      <c r="E62" s="132"/>
      <c r="F62" s="132"/>
      <c r="G62" s="132"/>
    </row>
    <row r="63" spans="1:7" s="99" customFormat="1" ht="15" customHeight="1" thickBot="1" x14ac:dyDescent="0.25">
      <c r="A63" s="133" t="s">
        <v>136</v>
      </c>
      <c r="B63" s="134"/>
      <c r="C63" s="135"/>
      <c r="D63" s="136">
        <v>25</v>
      </c>
      <c r="E63" s="136">
        <v>25</v>
      </c>
      <c r="F63" s="136"/>
      <c r="G63" s="13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31496062992125984" top="0.35433070866141736" bottom="0.43307086614173229" header="0.15748031496062992" footer="0.15748031496062992"/>
  <pageSetup paperSize="9" scale="70" firstPageNumber="76" orientation="portrait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view="pageBreakPreview" zoomScale="110" zoomScaleNormal="130" zoomScaleSheetLayoutView="11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" style="76" customWidth="1"/>
    <col min="4" max="4" width="15.6640625" style="76" hidden="1" customWidth="1"/>
    <col min="5" max="5" width="14.5" style="76" hidden="1" customWidth="1"/>
    <col min="6" max="6" width="20.1640625" style="76" customWidth="1"/>
    <col min="7" max="7" width="9.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1811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565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1517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4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197239</v>
      </c>
      <c r="E8" s="141">
        <f t="shared" ref="E8:F8" si="0">SUM(E9:E18)</f>
        <v>197239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155306</v>
      </c>
      <c r="E10" s="142">
        <v>155306</v>
      </c>
      <c r="F10" s="142">
        <v>0</v>
      </c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/>
      <c r="E11" s="142"/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41933</v>
      </c>
      <c r="E14" s="143">
        <v>41933</v>
      </c>
      <c r="F14" s="142">
        <v>0</v>
      </c>
      <c r="G14" s="143">
        <f>F14/E14*100</f>
        <v>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7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45331</v>
      </c>
      <c r="E19" s="141">
        <f t="shared" ref="E19:F19" si="1">SUM(E20:E25)</f>
        <v>47120</v>
      </c>
      <c r="F19" s="141">
        <f t="shared" si="1"/>
        <v>0</v>
      </c>
      <c r="G19" s="141">
        <f>F19/E19*100</f>
        <v>0</v>
      </c>
    </row>
    <row r="20" spans="1:7" s="99" customFormat="1" ht="30" x14ac:dyDescent="0.2">
      <c r="A20" s="97"/>
      <c r="B20" s="98" t="s">
        <v>4</v>
      </c>
      <c r="C20" s="1151" t="s">
        <v>1483</v>
      </c>
      <c r="D20" s="142">
        <v>45331</v>
      </c>
      <c r="E20" s="142">
        <v>47120</v>
      </c>
      <c r="F20" s="142">
        <v>0</v>
      </c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/>
      <c r="E21" s="142"/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19">
        <v>0</v>
      </c>
      <c r="G26" s="143"/>
    </row>
    <row r="27" spans="1:7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</row>
    <row r="31" spans="1:7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</row>
    <row r="32" spans="1:7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27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9028</v>
      </c>
      <c r="F33" s="148">
        <f t="shared" si="2"/>
        <v>0</v>
      </c>
      <c r="G33" s="148">
        <f>F33/E33*100</f>
        <v>0</v>
      </c>
    </row>
    <row r="34" spans="1:10" s="96" customFormat="1" ht="15" hidden="1" customHeight="1" thickBot="1" x14ac:dyDescent="0.25">
      <c r="A34" s="1133"/>
      <c r="B34" s="108" t="s">
        <v>28</v>
      </c>
      <c r="C34" s="4" t="s">
        <v>507</v>
      </c>
      <c r="D34" s="149">
        <v>0</v>
      </c>
      <c r="E34" s="149">
        <v>9028</v>
      </c>
      <c r="F34" s="149"/>
      <c r="G34" s="149">
        <f>F34/E34*100</f>
        <v>0</v>
      </c>
    </row>
    <row r="35" spans="1:10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</row>
    <row r="37" spans="1:10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174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</row>
    <row r="39" spans="1:10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">
        <v>0</v>
      </c>
      <c r="G40" s="1185"/>
    </row>
    <row r="41" spans="1:10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</row>
    <row r="43" spans="1:10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16267</v>
      </c>
      <c r="E43" s="119">
        <v>20412</v>
      </c>
      <c r="F43" s="142">
        <v>0</v>
      </c>
      <c r="G43" s="119">
        <f>F43/E43*100</f>
        <v>0</v>
      </c>
      <c r="J43" s="110">
        <f>SUM(F61-F45)</f>
        <v>0</v>
      </c>
    </row>
    <row r="44" spans="1:10" s="99" customFormat="1" ht="15" hidden="1" customHeight="1" thickBot="1" x14ac:dyDescent="0.3">
      <c r="A44" s="116"/>
      <c r="B44" s="117"/>
      <c r="C44" s="2" t="s">
        <v>542</v>
      </c>
      <c r="D44" s="119"/>
      <c r="E44" s="119"/>
      <c r="F44" s="119"/>
      <c r="G44" s="119"/>
    </row>
    <row r="45" spans="1:10" s="99" customFormat="1" ht="15" customHeight="1" thickBot="1" x14ac:dyDescent="0.25">
      <c r="A45" s="150" t="s">
        <v>38</v>
      </c>
      <c r="B45" s="151"/>
      <c r="C45" s="354" t="s">
        <v>510</v>
      </c>
      <c r="D45" s="152">
        <f>SUM(D8,D19,D28,D32,D33,D43)</f>
        <v>258837</v>
      </c>
      <c r="E45" s="152">
        <f>SUM(E8,E19,E28,E32,E33,E43)</f>
        <v>273799</v>
      </c>
      <c r="F45" s="152">
        <f>SUM(F8,F19,F28,F32,F33,F43)</f>
        <v>0</v>
      </c>
      <c r="G45" s="152">
        <f>F45/E45*100</f>
        <v>0</v>
      </c>
      <c r="I45" s="409">
        <f>SUM(D61-D45)</f>
        <v>0</v>
      </c>
    </row>
    <row r="46" spans="1:10" s="99" customFormat="1" ht="15" customHeight="1" thickBot="1" x14ac:dyDescent="0.25">
      <c r="A46" s="336"/>
      <c r="B46" s="336"/>
      <c r="C46" s="355"/>
      <c r="D46" s="388"/>
      <c r="E46" s="388"/>
      <c r="F46" s="388"/>
      <c r="G46" s="388"/>
    </row>
    <row r="47" spans="1:10" s="411" customFormat="1" ht="15" customHeight="1" thickBot="1" x14ac:dyDescent="0.25">
      <c r="A47" s="150"/>
      <c r="B47" s="151"/>
      <c r="C47" s="387" t="s">
        <v>82</v>
      </c>
      <c r="D47" s="152"/>
      <c r="E47" s="152"/>
      <c r="F47" s="152"/>
      <c r="G47" s="152"/>
    </row>
    <row r="48" spans="1:10" s="96" customFormat="1" ht="15" customHeight="1" thickBot="1" x14ac:dyDescent="0.25">
      <c r="A48" s="1132" t="s">
        <v>2</v>
      </c>
      <c r="B48" s="2"/>
      <c r="C48" s="1156" t="s">
        <v>49</v>
      </c>
      <c r="D48" s="141">
        <f>SUM(D49:D53)</f>
        <v>258837</v>
      </c>
      <c r="E48" s="141">
        <f t="shared" ref="E48:F48" si="3">SUM(E49:E53)</f>
        <v>273555</v>
      </c>
      <c r="F48" s="141">
        <f t="shared" si="3"/>
        <v>0</v>
      </c>
      <c r="G48" s="141">
        <f>F48/E48*100</f>
        <v>0</v>
      </c>
    </row>
    <row r="49" spans="1:7" s="99" customFormat="1" ht="15" customHeight="1" x14ac:dyDescent="0.2">
      <c r="A49" s="113"/>
      <c r="B49" s="1165" t="s">
        <v>50</v>
      </c>
      <c r="C49" s="7" t="s">
        <v>51</v>
      </c>
      <c r="D49" s="147">
        <v>35918</v>
      </c>
      <c r="E49" s="147">
        <v>38855</v>
      </c>
      <c r="F49" s="147">
        <v>0</v>
      </c>
      <c r="G49" s="147">
        <f>F49/E49*100</f>
        <v>0</v>
      </c>
    </row>
    <row r="50" spans="1:7" s="99" customFormat="1" ht="15" customHeight="1" x14ac:dyDescent="0.2">
      <c r="A50" s="97"/>
      <c r="B50" s="1166" t="s">
        <v>52</v>
      </c>
      <c r="C50" s="3" t="s">
        <v>53</v>
      </c>
      <c r="D50" s="142">
        <v>9491</v>
      </c>
      <c r="E50" s="142">
        <v>10284</v>
      </c>
      <c r="F50" s="142">
        <v>0</v>
      </c>
      <c r="G50" s="142">
        <f>F50/E50*100</f>
        <v>0</v>
      </c>
    </row>
    <row r="51" spans="1:7" s="99" customFormat="1" ht="15" customHeight="1" x14ac:dyDescent="0.2">
      <c r="A51" s="97"/>
      <c r="B51" s="1166" t="s">
        <v>54</v>
      </c>
      <c r="C51" s="3" t="s">
        <v>55</v>
      </c>
      <c r="D51" s="142">
        <v>213428</v>
      </c>
      <c r="E51" s="142">
        <v>224416</v>
      </c>
      <c r="F51" s="142">
        <v>0</v>
      </c>
      <c r="G51" s="142">
        <f>F51/E51*100</f>
        <v>0</v>
      </c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9" t="s">
        <v>3</v>
      </c>
      <c r="B54" s="2"/>
      <c r="C54" s="1156" t="s">
        <v>1513</v>
      </c>
      <c r="D54" s="141">
        <f>SUM(D55:D58)</f>
        <v>0</v>
      </c>
      <c r="E54" s="141">
        <f t="shared" ref="E54:F54" si="4">SUM(E55:E58)</f>
        <v>244</v>
      </c>
      <c r="F54" s="141">
        <f t="shared" si="4"/>
        <v>0</v>
      </c>
      <c r="G54" s="141">
        <f>F54/E54*100</f>
        <v>0</v>
      </c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244</v>
      </c>
      <c r="F55" s="147">
        <v>0</v>
      </c>
      <c r="G55" s="147">
        <f>F55/E55*100</f>
        <v>0</v>
      </c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+D48+D54+D59</f>
        <v>258837</v>
      </c>
      <c r="E61" s="152">
        <f t="shared" ref="E61" si="5">+E48+E54+E59</f>
        <v>273799</v>
      </c>
      <c r="F61" s="152">
        <f>+F48+F54+F59+F60</f>
        <v>0</v>
      </c>
      <c r="G61" s="152">
        <f>F61/E61*100</f>
        <v>0</v>
      </c>
    </row>
    <row r="62" spans="1:7" s="99" customFormat="1" ht="15" customHeight="1" thickBot="1" x14ac:dyDescent="0.25">
      <c r="A62" s="131"/>
      <c r="B62" s="132"/>
      <c r="C62" s="132"/>
      <c r="D62" s="132"/>
      <c r="E62" s="132"/>
      <c r="F62" s="132"/>
      <c r="G62" s="132"/>
    </row>
    <row r="63" spans="1:7" s="99" customFormat="1" ht="15" customHeight="1" thickBot="1" x14ac:dyDescent="0.25">
      <c r="A63" s="133" t="s">
        <v>136</v>
      </c>
      <c r="B63" s="134"/>
      <c r="C63" s="135"/>
      <c r="D63" s="136">
        <v>25</v>
      </c>
      <c r="E63" s="136">
        <v>25</v>
      </c>
      <c r="F63" s="136"/>
      <c r="G63" s="13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31496062992125984" top="0.35433070866141736" bottom="0.43307086614173229" header="0.15748031496062992" footer="0.15748031496062992"/>
  <pageSetup paperSize="9" scale="70" firstPageNumber="76" orientation="portrait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66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2" style="76" customWidth="1"/>
    <col min="4" max="4" width="11.83203125" style="76" hidden="1" customWidth="1"/>
    <col min="5" max="5" width="13.33203125" style="76" hidden="1" customWidth="1"/>
    <col min="6" max="6" width="19" style="76" customWidth="1"/>
    <col min="7" max="7" width="9.1640625" style="76" hidden="1" customWidth="1"/>
    <col min="8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557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566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x14ac:dyDescent="0.2">
      <c r="A3" s="1554" t="s">
        <v>122</v>
      </c>
      <c r="B3" s="1554"/>
      <c r="C3" s="80" t="s">
        <v>893</v>
      </c>
      <c r="D3" s="1524"/>
      <c r="E3" s="327"/>
      <c r="F3" s="1524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150" t="s">
        <v>2</v>
      </c>
      <c r="B8" s="94"/>
      <c r="C8" s="1142" t="s">
        <v>1774</v>
      </c>
      <c r="D8" s="141">
        <f>SUM(D9:D18)</f>
        <v>6917</v>
      </c>
      <c r="E8" s="141">
        <f t="shared" ref="E8:F8" si="0">SUM(E9:E18)</f>
        <v>6917</v>
      </c>
      <c r="F8" s="141">
        <f t="shared" si="0"/>
        <v>7417</v>
      </c>
      <c r="G8" s="141">
        <f>F8/E8*100</f>
        <v>107.22856729796155</v>
      </c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2500</v>
      </c>
      <c r="E11" s="142">
        <v>2500</v>
      </c>
      <c r="F11" s="142">
        <v>3000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2571</v>
      </c>
      <c r="E12" s="142">
        <v>2571</v>
      </c>
      <c r="F12" s="142">
        <v>2571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907</v>
      </c>
      <c r="E13" s="142">
        <v>907</v>
      </c>
      <c r="F13" s="142">
        <v>907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939</v>
      </c>
      <c r="E14" s="143">
        <v>939</v>
      </c>
      <c r="F14" s="142">
        <v>939</v>
      </c>
      <c r="G14" s="143">
        <f>F14/E14*100</f>
        <v>100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10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10" s="99" customFormat="1" ht="15" customHeight="1" x14ac:dyDescent="0.2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10" s="96" customFormat="1" ht="28.5" x14ac:dyDescent="0.2">
      <c r="A19" s="1139" t="s">
        <v>3</v>
      </c>
      <c r="B19" s="94"/>
      <c r="C19" s="1142" t="s">
        <v>1482</v>
      </c>
      <c r="D19" s="141">
        <f>SUM(D20:D25)</f>
        <v>23819</v>
      </c>
      <c r="E19" s="141">
        <f t="shared" ref="E19:F19" si="1">SUM(E20:E25)</f>
        <v>24503</v>
      </c>
      <c r="F19" s="141">
        <f t="shared" si="1"/>
        <v>0</v>
      </c>
      <c r="G19" s="141">
        <f>F19/E19*100</f>
        <v>0</v>
      </c>
    </row>
    <row r="20" spans="1:10" s="99" customFormat="1" ht="30" x14ac:dyDescent="0.2">
      <c r="A20" s="97"/>
      <c r="B20" s="98" t="s">
        <v>4</v>
      </c>
      <c r="C20" s="1151" t="s">
        <v>1483</v>
      </c>
      <c r="D20" s="142">
        <v>23819</v>
      </c>
      <c r="E20" s="142">
        <v>24503</v>
      </c>
      <c r="F20" s="142"/>
      <c r="G20" s="142">
        <f>F20/E20*100</f>
        <v>0</v>
      </c>
      <c r="I20" s="110"/>
      <c r="J20" s="110"/>
    </row>
    <row r="21" spans="1:10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  <c r="I21" s="110"/>
      <c r="J21" s="110"/>
    </row>
    <row r="22" spans="1:10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  <c r="I22" s="110"/>
      <c r="J22" s="110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  <c r="I23" s="110"/>
      <c r="J23" s="110"/>
    </row>
    <row r="24" spans="1:10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  <c r="I24" s="110"/>
      <c r="J24" s="110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  <c r="I25" s="110"/>
      <c r="J25" s="110"/>
    </row>
    <row r="26" spans="1:10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41">
        <v>0</v>
      </c>
      <c r="G26" s="143"/>
      <c r="I26" s="110"/>
      <c r="J26" s="110"/>
    </row>
    <row r="27" spans="1:10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  <c r="I27" s="110"/>
      <c r="J27" s="110"/>
    </row>
    <row r="28" spans="1:10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  <c r="I28" s="110"/>
      <c r="J28" s="110"/>
    </row>
    <row r="29" spans="1:10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  <c r="I29" s="110"/>
      <c r="J29" s="110"/>
    </row>
    <row r="30" spans="1:10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  <c r="I30" s="110"/>
      <c r="J30" s="110"/>
    </row>
    <row r="31" spans="1:10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  <c r="I31" s="110"/>
      <c r="J31" s="110"/>
    </row>
    <row r="32" spans="1:10" s="96" customFormat="1" ht="15" hidden="1" customHeight="1" thickBot="1" x14ac:dyDescent="0.25">
      <c r="A32" s="93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  <c r="I32" s="404"/>
      <c r="J32" s="404"/>
    </row>
    <row r="33" spans="1:11" s="96" customFormat="1" ht="15" hidden="1" customHeight="1" thickBot="1" x14ac:dyDescent="0.25">
      <c r="A33" s="93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97</v>
      </c>
      <c r="F33" s="148">
        <f t="shared" si="2"/>
        <v>0</v>
      </c>
      <c r="G33" s="148"/>
      <c r="I33" s="404"/>
      <c r="J33" s="404"/>
    </row>
    <row r="34" spans="1:11" s="96" customFormat="1" ht="15" hidden="1" customHeight="1" thickBot="1" x14ac:dyDescent="0.25">
      <c r="A34" s="102"/>
      <c r="B34" s="108" t="s">
        <v>28</v>
      </c>
      <c r="C34" s="4" t="s">
        <v>507</v>
      </c>
      <c r="D34" s="149">
        <v>0</v>
      </c>
      <c r="E34" s="149">
        <v>97</v>
      </c>
      <c r="F34" s="149"/>
      <c r="G34" s="149"/>
      <c r="I34" s="404"/>
      <c r="J34" s="404"/>
    </row>
    <row r="35" spans="1:11" s="96" customFormat="1" ht="15" hidden="1" customHeight="1" x14ac:dyDescent="0.2">
      <c r="A35" s="111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  <c r="I35" s="404"/>
      <c r="J35" s="404"/>
    </row>
    <row r="36" spans="1:11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  <c r="I36" s="404"/>
      <c r="J36" s="404"/>
    </row>
    <row r="37" spans="1:11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174">
        <v>0</v>
      </c>
      <c r="G37" s="1185"/>
      <c r="I37" s="404"/>
      <c r="J37" s="404"/>
    </row>
    <row r="38" spans="1:11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  <c r="I38" s="404"/>
      <c r="J38" s="404"/>
    </row>
    <row r="39" spans="1:11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  <c r="I39" s="404"/>
      <c r="J39" s="404"/>
    </row>
    <row r="40" spans="1:11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2">
        <f>SUM(F41:F43)</f>
        <v>49245</v>
      </c>
      <c r="G40" s="1185"/>
      <c r="I40" s="404"/>
      <c r="J40" s="404"/>
    </row>
    <row r="41" spans="1:11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  <c r="I41" s="404"/>
      <c r="J41" s="404"/>
    </row>
    <row r="42" spans="1:11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  <c r="I42" s="404"/>
      <c r="J42" s="404"/>
    </row>
    <row r="43" spans="1:11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26907</v>
      </c>
      <c r="E43" s="119">
        <v>27958</v>
      </c>
      <c r="F43" s="142">
        <f>SUM(F44:F45)</f>
        <v>49245</v>
      </c>
      <c r="G43" s="119">
        <f>F43/E43*100</f>
        <v>176.13920881321982</v>
      </c>
      <c r="I43" s="110"/>
      <c r="J43" s="110"/>
      <c r="K43" s="110">
        <f>SUM(F63-F47)</f>
        <v>0</v>
      </c>
    </row>
    <row r="44" spans="1:11" s="99" customFormat="1" ht="15" customHeight="1" thickBot="1" x14ac:dyDescent="0.25">
      <c r="A44" s="1408"/>
      <c r="B44" s="1409" t="s">
        <v>1777</v>
      </c>
      <c r="C44" s="1410" t="s">
        <v>1775</v>
      </c>
      <c r="D44" s="1224"/>
      <c r="E44" s="1224"/>
      <c r="F44" s="1412">
        <v>24188</v>
      </c>
      <c r="G44" s="1224"/>
      <c r="I44" s="110"/>
      <c r="J44" s="110"/>
      <c r="K44" s="110"/>
    </row>
    <row r="45" spans="1:11" s="99" customFormat="1" ht="15" customHeight="1" thickBot="1" x14ac:dyDescent="0.25">
      <c r="A45" s="1408"/>
      <c r="B45" s="1409" t="s">
        <v>1778</v>
      </c>
      <c r="C45" s="1410" t="s">
        <v>1776</v>
      </c>
      <c r="D45" s="1224"/>
      <c r="E45" s="1224"/>
      <c r="F45" s="1412">
        <v>25057</v>
      </c>
      <c r="G45" s="1224"/>
      <c r="I45" s="110"/>
      <c r="J45" s="110"/>
      <c r="K45" s="110"/>
    </row>
    <row r="46" spans="1:11" s="99" customFormat="1" ht="15" hidden="1" customHeight="1" thickBot="1" x14ac:dyDescent="0.3">
      <c r="A46" s="116"/>
      <c r="B46" s="117"/>
      <c r="C46" s="2" t="s">
        <v>542</v>
      </c>
      <c r="D46" s="119"/>
      <c r="E46" s="119"/>
      <c r="F46" s="119"/>
      <c r="G46" s="119"/>
    </row>
    <row r="47" spans="1:11" s="99" customFormat="1" ht="15" customHeight="1" thickBot="1" x14ac:dyDescent="0.25">
      <c r="A47" s="150" t="s">
        <v>38</v>
      </c>
      <c r="B47" s="151"/>
      <c r="C47" s="354" t="s">
        <v>510</v>
      </c>
      <c r="D47" s="152">
        <f>SUM(D8,D19,D28,D32,D33,D43)</f>
        <v>57643</v>
      </c>
      <c r="E47" s="152">
        <f>SUM(E8,E19,E28,E32,E33,E43)</f>
        <v>59475</v>
      </c>
      <c r="F47" s="152">
        <f>SUM(F8,F19,F28,F32,F33,F36,F38,F40)</f>
        <v>56662</v>
      </c>
      <c r="G47" s="152">
        <f>F47/E47*100</f>
        <v>95.270281630937376</v>
      </c>
      <c r="I47" s="110"/>
      <c r="J47" s="110"/>
    </row>
    <row r="48" spans="1:11" s="99" customFormat="1" ht="15" customHeight="1" thickBot="1" x14ac:dyDescent="0.25">
      <c r="A48" s="336"/>
      <c r="B48" s="336"/>
      <c r="C48" s="355"/>
      <c r="D48" s="388"/>
      <c r="E48" s="388"/>
      <c r="F48" s="388"/>
      <c r="G48" s="388"/>
    </row>
    <row r="49" spans="1:7" s="411" customFormat="1" ht="15" customHeight="1" x14ac:dyDescent="0.2">
      <c r="A49" s="150"/>
      <c r="B49" s="151"/>
      <c r="C49" s="387" t="s">
        <v>82</v>
      </c>
      <c r="D49" s="152"/>
      <c r="E49" s="152"/>
      <c r="F49" s="152"/>
      <c r="G49" s="152"/>
    </row>
    <row r="50" spans="1:7" s="96" customFormat="1" ht="15" customHeight="1" x14ac:dyDescent="0.2">
      <c r="A50" s="93" t="s">
        <v>2</v>
      </c>
      <c r="B50" s="2"/>
      <c r="C50" s="1156" t="s">
        <v>49</v>
      </c>
      <c r="D50" s="141">
        <f>SUM(D51:D55)</f>
        <v>57643</v>
      </c>
      <c r="E50" s="141">
        <f t="shared" ref="E50:F50" si="3">SUM(E51:E55)</f>
        <v>59475</v>
      </c>
      <c r="F50" s="141">
        <f t="shared" si="3"/>
        <v>56408</v>
      </c>
      <c r="G50" s="141">
        <f>F50/E50*100</f>
        <v>94.843211433375359</v>
      </c>
    </row>
    <row r="51" spans="1:7" s="99" customFormat="1" ht="15" customHeight="1" x14ac:dyDescent="0.2">
      <c r="A51" s="113"/>
      <c r="B51" s="1165" t="s">
        <v>50</v>
      </c>
      <c r="C51" s="7" t="s">
        <v>51</v>
      </c>
      <c r="D51" s="147">
        <v>32955</v>
      </c>
      <c r="E51" s="147">
        <v>34286</v>
      </c>
      <c r="F51" s="147">
        <v>33736</v>
      </c>
      <c r="G51" s="147">
        <f>F51/E51*100</f>
        <v>98.395846701277492</v>
      </c>
    </row>
    <row r="52" spans="1:7" s="99" customFormat="1" ht="15" customHeight="1" x14ac:dyDescent="0.2">
      <c r="A52" s="97"/>
      <c r="B52" s="1166" t="s">
        <v>52</v>
      </c>
      <c r="C52" s="3" t="s">
        <v>53</v>
      </c>
      <c r="D52" s="142">
        <v>8632</v>
      </c>
      <c r="E52" s="142">
        <v>8991</v>
      </c>
      <c r="F52" s="142">
        <v>9298</v>
      </c>
      <c r="G52" s="142">
        <f>F52/E52*100</f>
        <v>103.41452563674787</v>
      </c>
    </row>
    <row r="53" spans="1:7" s="99" customFormat="1" ht="15" customHeight="1" x14ac:dyDescent="0.2">
      <c r="A53" s="97"/>
      <c r="B53" s="1166" t="s">
        <v>54</v>
      </c>
      <c r="C53" s="3" t="s">
        <v>55</v>
      </c>
      <c r="D53" s="142">
        <v>16056</v>
      </c>
      <c r="E53" s="142">
        <v>16198</v>
      </c>
      <c r="F53" s="142">
        <v>13374</v>
      </c>
      <c r="G53" s="142">
        <f>F53/E53*100</f>
        <v>82.56574885788369</v>
      </c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x14ac:dyDescent="0.2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x14ac:dyDescent="0.2">
      <c r="A56" s="1139" t="s">
        <v>3</v>
      </c>
      <c r="B56" s="2"/>
      <c r="C56" s="1156" t="s">
        <v>1513</v>
      </c>
      <c r="D56" s="141">
        <f>SUM(D57:D60)</f>
        <v>0</v>
      </c>
      <c r="E56" s="141">
        <f t="shared" ref="E56:F56" si="4">SUM(E57:E60)</f>
        <v>0</v>
      </c>
      <c r="F56" s="141">
        <f t="shared" si="4"/>
        <v>254</v>
      </c>
      <c r="G56" s="141"/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0</v>
      </c>
      <c r="F57" s="147">
        <v>254</v>
      </c>
      <c r="G57" s="147"/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x14ac:dyDescent="0.2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x14ac:dyDescent="0.2">
      <c r="A61" s="93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x14ac:dyDescent="0.2">
      <c r="A62" s="93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+D50+D56+D61</f>
        <v>57643</v>
      </c>
      <c r="E63" s="152">
        <f t="shared" ref="E63" si="5">+E50+E56+E61</f>
        <v>59475</v>
      </c>
      <c r="F63" s="152">
        <f>+F50+F56+F61+F62</f>
        <v>56662</v>
      </c>
      <c r="G63" s="152">
        <f>F63/E63*100</f>
        <v>95.270281630937376</v>
      </c>
    </row>
    <row r="64" spans="1:7" s="99" customFormat="1" ht="15" customHeight="1" thickBot="1" x14ac:dyDescent="0.25">
      <c r="A64" s="131"/>
      <c r="B64" s="132"/>
      <c r="C64" s="132"/>
      <c r="D64" s="132"/>
      <c r="E64" s="132"/>
      <c r="F64" s="132"/>
      <c r="G64" s="132"/>
    </row>
    <row r="65" spans="1:7" s="99" customFormat="1" ht="15" customHeight="1" x14ac:dyDescent="0.2">
      <c r="A65" s="133" t="s">
        <v>136</v>
      </c>
      <c r="B65" s="134"/>
      <c r="C65" s="135"/>
      <c r="D65" s="136">
        <v>21</v>
      </c>
      <c r="E65" s="136">
        <v>21</v>
      </c>
      <c r="F65" s="136">
        <v>21</v>
      </c>
      <c r="G65" s="136"/>
    </row>
    <row r="66" spans="1:7" s="99" customFormat="1" ht="15" customHeight="1" x14ac:dyDescent="0.2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23622047244094491" right="0.27559055118110237" top="0.39370078740157483" bottom="0.35433070866141736" header="0.19685039370078741" footer="0.15748031496062992"/>
  <pageSetup paperSize="9" scale="71" firstPageNumber="77" orientation="portrait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66"/>
  <sheetViews>
    <sheetView view="pageBreakPreview" zoomScaleNormal="130" zoomScaleSheetLayoutView="100" workbookViewId="0">
      <selection activeCell="C7" sqref="C7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2" style="76" customWidth="1"/>
    <col min="4" max="4" width="11.83203125" style="76" hidden="1" customWidth="1"/>
    <col min="5" max="5" width="13.33203125" style="76" hidden="1" customWidth="1"/>
    <col min="6" max="6" width="19" style="76" customWidth="1"/>
    <col min="7" max="7" width="9.1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1812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566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1518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50" t="s">
        <v>2</v>
      </c>
      <c r="B8" s="94"/>
      <c r="C8" s="1142" t="s">
        <v>1774</v>
      </c>
      <c r="D8" s="141">
        <f>SUM(D9:D18)</f>
        <v>6917</v>
      </c>
      <c r="E8" s="141">
        <f t="shared" ref="E8:F8" si="0">SUM(E9:E18)</f>
        <v>6917</v>
      </c>
      <c r="F8" s="141">
        <f t="shared" si="0"/>
        <v>7417</v>
      </c>
      <c r="G8" s="141">
        <f>F8/E8*100</f>
        <v>107.22856729796155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2500</v>
      </c>
      <c r="E11" s="142">
        <v>2500</v>
      </c>
      <c r="F11" s="142">
        <v>3000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2571</v>
      </c>
      <c r="E12" s="142">
        <v>2571</v>
      </c>
      <c r="F12" s="142">
        <v>2571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907</v>
      </c>
      <c r="E13" s="142">
        <v>907</v>
      </c>
      <c r="F13" s="142">
        <v>907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939</v>
      </c>
      <c r="E14" s="143">
        <v>939</v>
      </c>
      <c r="F14" s="142">
        <v>939</v>
      </c>
      <c r="G14" s="143">
        <f>F14/E14*100</f>
        <v>100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10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10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23819</v>
      </c>
      <c r="E19" s="141">
        <f t="shared" ref="E19:F19" si="1">SUM(E20:E25)</f>
        <v>24503</v>
      </c>
      <c r="F19" s="141">
        <f t="shared" si="1"/>
        <v>0</v>
      </c>
      <c r="G19" s="141">
        <f>F19/E19*100</f>
        <v>0</v>
      </c>
    </row>
    <row r="20" spans="1:10" s="99" customFormat="1" ht="30" x14ac:dyDescent="0.2">
      <c r="A20" s="97"/>
      <c r="B20" s="98" t="s">
        <v>4</v>
      </c>
      <c r="C20" s="1151" t="s">
        <v>1483</v>
      </c>
      <c r="D20" s="142">
        <v>23819</v>
      </c>
      <c r="E20" s="142">
        <v>24503</v>
      </c>
      <c r="F20" s="142"/>
      <c r="G20" s="142">
        <f>F20/E20*100</f>
        <v>0</v>
      </c>
      <c r="I20" s="110"/>
      <c r="J20" s="110"/>
    </row>
    <row r="21" spans="1:10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  <c r="I21" s="110"/>
      <c r="J21" s="110"/>
    </row>
    <row r="22" spans="1:10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  <c r="I22" s="110"/>
      <c r="J22" s="110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  <c r="I23" s="110"/>
      <c r="J23" s="110"/>
    </row>
    <row r="24" spans="1:10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  <c r="I24" s="110"/>
      <c r="J24" s="110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  <c r="I25" s="110"/>
      <c r="J25" s="110"/>
    </row>
    <row r="26" spans="1:10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41">
        <v>0</v>
      </c>
      <c r="G26" s="143"/>
      <c r="I26" s="110"/>
      <c r="J26" s="110"/>
    </row>
    <row r="27" spans="1:10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  <c r="I27" s="110"/>
      <c r="J27" s="110"/>
    </row>
    <row r="28" spans="1:10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  <c r="I28" s="110"/>
      <c r="J28" s="110"/>
    </row>
    <row r="29" spans="1:10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  <c r="I29" s="110"/>
      <c r="J29" s="110"/>
    </row>
    <row r="30" spans="1:10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  <c r="I30" s="110"/>
      <c r="J30" s="110"/>
    </row>
    <row r="31" spans="1:10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  <c r="I31" s="110"/>
      <c r="J31" s="110"/>
    </row>
    <row r="32" spans="1:10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  <c r="I32" s="404"/>
      <c r="J32" s="404"/>
    </row>
    <row r="33" spans="1:11" s="96" customFormat="1" ht="15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97</v>
      </c>
      <c r="F33" s="148">
        <f t="shared" si="2"/>
        <v>0</v>
      </c>
      <c r="G33" s="148"/>
      <c r="I33" s="404"/>
      <c r="J33" s="404"/>
    </row>
    <row r="34" spans="1:11" s="96" customFormat="1" ht="15" hidden="1" customHeight="1" thickBot="1" x14ac:dyDescent="0.25">
      <c r="A34" s="1133"/>
      <c r="B34" s="108" t="s">
        <v>28</v>
      </c>
      <c r="C34" s="4" t="s">
        <v>507</v>
      </c>
      <c r="D34" s="149">
        <v>0</v>
      </c>
      <c r="E34" s="149">
        <v>97</v>
      </c>
      <c r="F34" s="149"/>
      <c r="G34" s="149"/>
      <c r="I34" s="404"/>
      <c r="J34" s="404"/>
    </row>
    <row r="35" spans="1:11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  <c r="I35" s="404"/>
      <c r="J35" s="404"/>
    </row>
    <row r="36" spans="1:11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  <c r="I36" s="404"/>
      <c r="J36" s="404"/>
    </row>
    <row r="37" spans="1:11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42">
        <v>0</v>
      </c>
      <c r="G37" s="1185"/>
      <c r="I37" s="404"/>
      <c r="J37" s="404"/>
    </row>
    <row r="38" spans="1:11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  <c r="I38" s="404"/>
      <c r="J38" s="404"/>
    </row>
    <row r="39" spans="1:11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  <c r="I39" s="404"/>
      <c r="J39" s="404"/>
    </row>
    <row r="40" spans="1:11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41">
        <f>SUM(F41:F43)</f>
        <v>49245</v>
      </c>
      <c r="G40" s="1185"/>
      <c r="I40" s="404"/>
      <c r="J40" s="404"/>
    </row>
    <row r="41" spans="1:11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  <c r="I41" s="404"/>
      <c r="J41" s="404"/>
    </row>
    <row r="42" spans="1:11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  <c r="I42" s="404"/>
      <c r="J42" s="404"/>
    </row>
    <row r="43" spans="1:11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26907</v>
      </c>
      <c r="E43" s="119">
        <v>27958</v>
      </c>
      <c r="F43" s="142">
        <f>SUM(F44:F45)</f>
        <v>49245</v>
      </c>
      <c r="G43" s="119">
        <f>F43/E43*100</f>
        <v>176.13920881321982</v>
      </c>
      <c r="I43" s="110"/>
      <c r="J43" s="110"/>
      <c r="K43" s="110">
        <f>SUM(F63-F47)</f>
        <v>0</v>
      </c>
    </row>
    <row r="44" spans="1:11" s="99" customFormat="1" ht="15" customHeight="1" thickBot="1" x14ac:dyDescent="0.25">
      <c r="A44" s="1408"/>
      <c r="B44" s="1409" t="s">
        <v>1777</v>
      </c>
      <c r="C44" s="1410" t="s">
        <v>1775</v>
      </c>
      <c r="D44" s="1224"/>
      <c r="E44" s="1224"/>
      <c r="F44" s="1412">
        <v>24188</v>
      </c>
      <c r="G44" s="1224"/>
      <c r="I44" s="110"/>
      <c r="J44" s="110"/>
      <c r="K44" s="110"/>
    </row>
    <row r="45" spans="1:11" s="99" customFormat="1" ht="15" customHeight="1" thickBot="1" x14ac:dyDescent="0.25">
      <c r="A45" s="1408"/>
      <c r="B45" s="1409" t="s">
        <v>1778</v>
      </c>
      <c r="C45" s="1410" t="s">
        <v>1776</v>
      </c>
      <c r="D45" s="1224"/>
      <c r="E45" s="1224"/>
      <c r="F45" s="1412">
        <v>25057</v>
      </c>
      <c r="G45" s="1224"/>
      <c r="I45" s="110"/>
      <c r="J45" s="110"/>
      <c r="K45" s="110"/>
    </row>
    <row r="46" spans="1:11" s="99" customFormat="1" ht="15" hidden="1" customHeight="1" thickBot="1" x14ac:dyDescent="0.3">
      <c r="A46" s="116"/>
      <c r="B46" s="117"/>
      <c r="C46" s="2" t="s">
        <v>542</v>
      </c>
      <c r="D46" s="119"/>
      <c r="E46" s="119"/>
      <c r="F46" s="119"/>
      <c r="G46" s="119"/>
    </row>
    <row r="47" spans="1:11" s="99" customFormat="1" ht="15" customHeight="1" thickBot="1" x14ac:dyDescent="0.25">
      <c r="A47" s="150" t="s">
        <v>38</v>
      </c>
      <c r="B47" s="151"/>
      <c r="C47" s="354" t="s">
        <v>510</v>
      </c>
      <c r="D47" s="152">
        <f>SUM(D8,D19,D28,D32,D33,D43)</f>
        <v>57643</v>
      </c>
      <c r="E47" s="152">
        <f>SUM(E8,E19,E28,E32,E33,E43)</f>
        <v>59475</v>
      </c>
      <c r="F47" s="152">
        <f>SUM(F8,F19,F28,F32,F33,F43)</f>
        <v>56662</v>
      </c>
      <c r="G47" s="152">
        <f>F47/E47*100</f>
        <v>95.270281630937376</v>
      </c>
      <c r="I47" s="110"/>
      <c r="J47" s="110"/>
    </row>
    <row r="48" spans="1:11" s="99" customFormat="1" ht="15" customHeight="1" thickBot="1" x14ac:dyDescent="0.25">
      <c r="A48" s="336"/>
      <c r="B48" s="336"/>
      <c r="C48" s="355"/>
      <c r="D48" s="388"/>
      <c r="E48" s="388"/>
      <c r="F48" s="388"/>
      <c r="G48" s="388"/>
    </row>
    <row r="49" spans="1:7" s="411" customFormat="1" ht="15" customHeight="1" thickBot="1" x14ac:dyDescent="0.25">
      <c r="A49" s="150"/>
      <c r="B49" s="151"/>
      <c r="C49" s="387" t="s">
        <v>82</v>
      </c>
      <c r="D49" s="152"/>
      <c r="E49" s="152"/>
      <c r="F49" s="152"/>
      <c r="G49" s="152"/>
    </row>
    <row r="50" spans="1:7" s="96" customFormat="1" ht="15" customHeight="1" thickBot="1" x14ac:dyDescent="0.25">
      <c r="A50" s="1132" t="s">
        <v>2</v>
      </c>
      <c r="B50" s="2"/>
      <c r="C50" s="1156" t="s">
        <v>49</v>
      </c>
      <c r="D50" s="141">
        <f>SUM(D51:D55)</f>
        <v>57643</v>
      </c>
      <c r="E50" s="141">
        <f t="shared" ref="E50:F50" si="3">SUM(E51:E55)</f>
        <v>59475</v>
      </c>
      <c r="F50" s="141">
        <f t="shared" si="3"/>
        <v>56408</v>
      </c>
      <c r="G50" s="141">
        <f>F50/E50*100</f>
        <v>94.843211433375359</v>
      </c>
    </row>
    <row r="51" spans="1:7" s="99" customFormat="1" ht="15" customHeight="1" x14ac:dyDescent="0.2">
      <c r="A51" s="113"/>
      <c r="B51" s="1165" t="s">
        <v>50</v>
      </c>
      <c r="C51" s="7" t="s">
        <v>51</v>
      </c>
      <c r="D51" s="147">
        <v>32955</v>
      </c>
      <c r="E51" s="147">
        <v>34286</v>
      </c>
      <c r="F51" s="147">
        <v>33736</v>
      </c>
      <c r="G51" s="147">
        <f>F51/E51*100</f>
        <v>98.395846701277492</v>
      </c>
    </row>
    <row r="52" spans="1:7" s="99" customFormat="1" ht="15" customHeight="1" x14ac:dyDescent="0.2">
      <c r="A52" s="97"/>
      <c r="B52" s="1166" t="s">
        <v>52</v>
      </c>
      <c r="C52" s="3" t="s">
        <v>53</v>
      </c>
      <c r="D52" s="142">
        <v>8632</v>
      </c>
      <c r="E52" s="142">
        <v>8991</v>
      </c>
      <c r="F52" s="142">
        <v>9298</v>
      </c>
      <c r="G52" s="142">
        <f>F52/E52*100</f>
        <v>103.41452563674787</v>
      </c>
    </row>
    <row r="53" spans="1:7" s="99" customFormat="1" ht="15" customHeight="1" x14ac:dyDescent="0.2">
      <c r="A53" s="97"/>
      <c r="B53" s="1166" t="s">
        <v>54</v>
      </c>
      <c r="C53" s="3" t="s">
        <v>55</v>
      </c>
      <c r="D53" s="142">
        <v>16056</v>
      </c>
      <c r="E53" s="142">
        <v>16198</v>
      </c>
      <c r="F53" s="142">
        <v>13374</v>
      </c>
      <c r="G53" s="142">
        <f>F53/E53*100</f>
        <v>82.56574885788369</v>
      </c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customHeight="1" thickBot="1" x14ac:dyDescent="0.25">
      <c r="A56" s="1139" t="s">
        <v>3</v>
      </c>
      <c r="B56" s="2"/>
      <c r="C56" s="1156" t="s">
        <v>1513</v>
      </c>
      <c r="D56" s="141">
        <f>SUM(D57:D60)</f>
        <v>0</v>
      </c>
      <c r="E56" s="141">
        <f t="shared" ref="E56:F56" si="4">SUM(E57:E60)</f>
        <v>0</v>
      </c>
      <c r="F56" s="141">
        <f t="shared" si="4"/>
        <v>254</v>
      </c>
      <c r="G56" s="141"/>
    </row>
    <row r="57" spans="1:7" s="96" customFormat="1" ht="15" customHeight="1" x14ac:dyDescent="0.2">
      <c r="A57" s="113"/>
      <c r="B57" s="1165" t="s">
        <v>4</v>
      </c>
      <c r="C57" s="1151" t="s">
        <v>1173</v>
      </c>
      <c r="D57" s="147">
        <v>0</v>
      </c>
      <c r="E57" s="147">
        <v>0</v>
      </c>
      <c r="F57" s="147">
        <v>254</v>
      </c>
      <c r="G57" s="147"/>
    </row>
    <row r="58" spans="1:7" s="99" customFormat="1" ht="15" customHeight="1" x14ac:dyDescent="0.2">
      <c r="A58" s="97"/>
      <c r="B58" s="1166" t="s">
        <v>6</v>
      </c>
      <c r="C58" s="1144" t="s">
        <v>64</v>
      </c>
      <c r="D58" s="142">
        <v>0</v>
      </c>
      <c r="E58" s="142">
        <v>0</v>
      </c>
      <c r="F58" s="142">
        <v>0</v>
      </c>
      <c r="G58" s="142"/>
    </row>
    <row r="59" spans="1:7" s="99" customFormat="1" ht="15.75" thickBot="1" x14ac:dyDescent="0.25">
      <c r="A59" s="97"/>
      <c r="B59" s="1166" t="s">
        <v>7</v>
      </c>
      <c r="C59" s="1144" t="s">
        <v>1500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thickBot="1" x14ac:dyDescent="0.25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thickBot="1" x14ac:dyDescent="0.25">
      <c r="A61" s="1132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thickBot="1" x14ac:dyDescent="0.25">
      <c r="A62" s="1132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+D50+D56+D61</f>
        <v>57643</v>
      </c>
      <c r="E63" s="152">
        <f t="shared" ref="E63" si="5">+E50+E56+E61</f>
        <v>59475</v>
      </c>
      <c r="F63" s="152">
        <f>+F50+F56+F61+F62</f>
        <v>56662</v>
      </c>
      <c r="G63" s="152">
        <f>F63/E63*100</f>
        <v>95.270281630937376</v>
      </c>
    </row>
    <row r="64" spans="1:7" s="99" customFormat="1" ht="15" customHeight="1" thickBot="1" x14ac:dyDescent="0.25">
      <c r="A64" s="131"/>
      <c r="B64" s="132"/>
      <c r="C64" s="132"/>
      <c r="D64" s="132"/>
      <c r="E64" s="132"/>
      <c r="F64" s="132"/>
      <c r="G64" s="132"/>
    </row>
    <row r="65" spans="1:7" s="99" customFormat="1" ht="15" customHeight="1" thickBot="1" x14ac:dyDescent="0.25">
      <c r="A65" s="133" t="s">
        <v>136</v>
      </c>
      <c r="B65" s="134"/>
      <c r="C65" s="135"/>
      <c r="D65" s="136">
        <v>21</v>
      </c>
      <c r="E65" s="136">
        <v>21</v>
      </c>
      <c r="F65" s="136">
        <v>21</v>
      </c>
      <c r="G65" s="136"/>
    </row>
    <row r="66" spans="1:7" s="99" customFormat="1" ht="15" customHeight="1" thickBot="1" x14ac:dyDescent="0.25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3622047244094491" right="0.27559055118110237" top="0.39370078740157483" bottom="0.35433070866141736" header="0.19685039370078741" footer="0.15748031496062992"/>
  <pageSetup paperSize="9" scale="70" firstPageNumber="77" orientation="portrait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8"/>
  <sheetViews>
    <sheetView view="pageBreakPreview" topLeftCell="A44" zoomScaleNormal="130" zoomScaleSheetLayoutView="100" workbookViewId="0">
      <selection activeCell="J39" sqref="J39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6384" width="9.33203125" style="76"/>
  </cols>
  <sheetData>
    <row r="1" spans="1:10" s="79" customFormat="1" ht="33.75" customHeight="1" thickBot="1" x14ac:dyDescent="0.25">
      <c r="A1" s="1521" t="s">
        <v>120</v>
      </c>
      <c r="B1" s="1522"/>
      <c r="C1" s="77" t="s">
        <v>121</v>
      </c>
      <c r="D1" s="1523" t="s">
        <v>1024</v>
      </c>
      <c r="E1" s="343"/>
      <c r="F1" s="1523" t="s">
        <v>1420</v>
      </c>
      <c r="G1" s="1306"/>
    </row>
    <row r="2" spans="1:10" s="79" customFormat="1" ht="33.75" customHeight="1" thickBot="1" x14ac:dyDescent="0.25">
      <c r="A2" s="1525" t="s">
        <v>122</v>
      </c>
      <c r="B2" s="1526"/>
      <c r="C2" s="80" t="s">
        <v>1635</v>
      </c>
      <c r="D2" s="1524"/>
      <c r="E2" s="327"/>
      <c r="F2" s="1524"/>
      <c r="G2" s="137"/>
    </row>
    <row r="3" spans="1:10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0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0" s="89" customFormat="1" ht="15" customHeight="1" thickBot="1" x14ac:dyDescent="0.25">
      <c r="A5" s="1307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0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0" s="89" customFormat="1" ht="31.5" customHeight="1" thickBot="1" x14ac:dyDescent="0.25">
      <c r="A7" s="1308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2149189</v>
      </c>
      <c r="G7" s="141">
        <f>F7/E7*100</f>
        <v>116.79359403530127</v>
      </c>
      <c r="I7" s="1135"/>
      <c r="J7" s="1135"/>
    </row>
    <row r="8" spans="1:10" s="96" customFormat="1" ht="19.5" customHeight="1" thickBot="1" x14ac:dyDescent="0.25">
      <c r="A8" s="1308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f>SUM('3. a. sz. mell'!F8)</f>
        <v>1271487</v>
      </c>
      <c r="G8" s="141">
        <f t="shared" ref="G8:G46" si="2">F8/E8*100</f>
        <v>75.444125088409677</v>
      </c>
      <c r="I8" s="1135"/>
      <c r="J8" s="1135"/>
    </row>
    <row r="9" spans="1:10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2"/>
        <v>0</v>
      </c>
      <c r="I9" s="1135"/>
      <c r="J9" s="1135"/>
    </row>
    <row r="10" spans="1:10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/>
      <c r="J10" s="1135"/>
    </row>
    <row r="11" spans="1:10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/>
      <c r="G11" s="142">
        <f t="shared" si="2"/>
        <v>0</v>
      </c>
      <c r="I11" s="1135"/>
      <c r="J11" s="1135"/>
    </row>
    <row r="12" spans="1:10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/>
      <c r="G12" s="142">
        <f t="shared" si="2"/>
        <v>0</v>
      </c>
      <c r="I12" s="1135"/>
      <c r="J12" s="1135"/>
    </row>
    <row r="13" spans="1:10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/>
      <c r="J13" s="1135"/>
    </row>
    <row r="14" spans="1:10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/>
      <c r="J14" s="1135"/>
    </row>
    <row r="15" spans="1:10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/>
      <c r="J15" s="1135"/>
    </row>
    <row r="16" spans="1:10" s="96" customFormat="1" ht="18.75" customHeight="1" thickBot="1" x14ac:dyDescent="0.25">
      <c r="A16" s="1308" t="s">
        <v>12</v>
      </c>
      <c r="B16" s="94"/>
      <c r="C16" s="368" t="s">
        <v>1626</v>
      </c>
      <c r="D16" s="141">
        <f>SUM(D17:D24)</f>
        <v>77679</v>
      </c>
      <c r="E16" s="141">
        <f t="shared" ref="E16" si="3">SUM(E17:E24)</f>
        <v>154824</v>
      </c>
      <c r="F16" s="141">
        <f>SUM('3. a. sz. mell'!F16+'4.a. sz. mell.'!F8+'5.a sz. mell. '!F8)</f>
        <v>275619</v>
      </c>
      <c r="G16" s="141">
        <f t="shared" si="2"/>
        <v>178.02084948070066</v>
      </c>
      <c r="I16" s="1135"/>
      <c r="J16" s="1135"/>
    </row>
    <row r="17" spans="1:10" s="96" customFormat="1" ht="15" hidden="1" customHeight="1" x14ac:dyDescent="0.2">
      <c r="A17" s="1309"/>
      <c r="B17" s="98"/>
      <c r="C17" s="375"/>
      <c r="D17" s="144"/>
      <c r="E17" s="144"/>
      <c r="F17" s="144"/>
      <c r="G17" s="144"/>
      <c r="I17" s="1135"/>
      <c r="J17" s="1135"/>
    </row>
    <row r="18" spans="1:10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2"/>
      <c r="G18" s="142">
        <f t="shared" si="2"/>
        <v>0</v>
      </c>
      <c r="I18" s="1135"/>
      <c r="J18" s="1135"/>
    </row>
    <row r="19" spans="1:10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2"/>
      <c r="G19" s="142">
        <f t="shared" si="2"/>
        <v>0</v>
      </c>
      <c r="I19" s="1135"/>
      <c r="J19" s="1135"/>
    </row>
    <row r="20" spans="1:10" s="96" customFormat="1" ht="15" hidden="1" customHeight="1" x14ac:dyDescent="0.2">
      <c r="A20" s="97"/>
      <c r="B20" s="98"/>
      <c r="C20" s="375"/>
      <c r="D20" s="142"/>
      <c r="E20" s="142"/>
      <c r="F20" s="142"/>
      <c r="G20" s="142"/>
      <c r="I20" s="1135"/>
      <c r="J20" s="1135"/>
    </row>
    <row r="21" spans="1:10" s="96" customFormat="1" ht="15" hidden="1" customHeight="1" x14ac:dyDescent="0.2">
      <c r="A21" s="97"/>
      <c r="B21" s="98"/>
      <c r="C21" s="375"/>
      <c r="D21" s="142"/>
      <c r="E21" s="142"/>
      <c r="F21" s="142"/>
      <c r="G21" s="142"/>
      <c r="I21" s="1135"/>
      <c r="J21" s="1135"/>
    </row>
    <row r="22" spans="1:10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3"/>
      <c r="G22" s="143">
        <f t="shared" si="2"/>
        <v>0</v>
      </c>
      <c r="I22" s="1135"/>
      <c r="J22" s="1135"/>
    </row>
    <row r="23" spans="1:10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2"/>
      <c r="G23" s="142">
        <f t="shared" si="2"/>
        <v>0</v>
      </c>
      <c r="I23" s="1135"/>
      <c r="J23" s="1135"/>
    </row>
    <row r="24" spans="1:10" s="99" customFormat="1" ht="15" hidden="1" customHeight="1" thickBot="1" x14ac:dyDescent="0.25">
      <c r="A24" s="104"/>
      <c r="B24" s="105"/>
      <c r="C24" s="375"/>
      <c r="D24" s="145"/>
      <c r="E24" s="145"/>
      <c r="F24" s="145"/>
      <c r="G24" s="145"/>
      <c r="I24" s="1135"/>
      <c r="J24" s="1135"/>
    </row>
    <row r="25" spans="1:10" s="99" customFormat="1" ht="15" hidden="1" customHeight="1" x14ac:dyDescent="0.2">
      <c r="A25" s="1308"/>
      <c r="B25" s="106"/>
      <c r="C25" s="368"/>
      <c r="D25" s="119"/>
      <c r="E25" s="119"/>
      <c r="F25" s="119"/>
      <c r="G25" s="141" t="e">
        <f t="shared" si="2"/>
        <v>#DIV/0!</v>
      </c>
      <c r="I25" s="1135"/>
      <c r="J25" s="1135"/>
    </row>
    <row r="26" spans="1:10" s="96" customFormat="1" ht="21" customHeight="1" thickBot="1" x14ac:dyDescent="0.25">
      <c r="A26" s="1308" t="s">
        <v>68</v>
      </c>
      <c r="B26" s="94"/>
      <c r="C26" s="368" t="s">
        <v>1614</v>
      </c>
      <c r="D26" s="141">
        <f>SUM(D28:D33)</f>
        <v>0</v>
      </c>
      <c r="E26" s="141">
        <f>SUM(E28:E33)</f>
        <v>0</v>
      </c>
      <c r="F26" s="141">
        <f>SUM('3. a. sz. mell'!F26+'4.a. sz. mell.'!F19+'5.a sz. mell. '!F19)</f>
        <v>602083</v>
      </c>
      <c r="G26" s="141" t="e">
        <f t="shared" si="2"/>
        <v>#DIV/0!</v>
      </c>
      <c r="I26" s="1135"/>
      <c r="J26" s="1135"/>
    </row>
    <row r="27" spans="1:10" s="96" customFormat="1" ht="21" customHeight="1" thickBot="1" x14ac:dyDescent="0.25">
      <c r="A27" s="1308" t="s">
        <v>27</v>
      </c>
      <c r="B27" s="1366"/>
      <c r="C27" s="1303" t="s">
        <v>1170</v>
      </c>
      <c r="D27" s="1367"/>
      <c r="E27" s="1367"/>
      <c r="F27" s="1368"/>
      <c r="G27" s="1367"/>
      <c r="I27" s="1135"/>
      <c r="J27" s="1135"/>
    </row>
    <row r="28" spans="1:10" s="99" customFormat="1" ht="30.75" customHeight="1" thickBot="1" x14ac:dyDescent="0.25">
      <c r="A28" s="1308" t="s">
        <v>32</v>
      </c>
      <c r="B28" s="98"/>
      <c r="C28" s="1291" t="s">
        <v>1617</v>
      </c>
      <c r="D28" s="142"/>
      <c r="E28" s="142"/>
      <c r="F28" s="1293">
        <f>SUM(F29:F31)</f>
        <v>0</v>
      </c>
      <c r="G28" s="142" t="e">
        <f t="shared" si="2"/>
        <v>#DIV/0!</v>
      </c>
      <c r="I28" s="1135"/>
      <c r="J28" s="1135"/>
    </row>
    <row r="29" spans="1:10" s="99" customFormat="1" ht="18.75" customHeight="1" thickBot="1" x14ac:dyDescent="0.25">
      <c r="A29" s="1308" t="s">
        <v>74</v>
      </c>
      <c r="B29" s="98"/>
      <c r="C29" s="368" t="s">
        <v>1587</v>
      </c>
      <c r="D29" s="142"/>
      <c r="E29" s="142"/>
      <c r="F29" s="141">
        <f>SUM('3. a. sz. mell'!F27+'4.a. sz. mell.'!F28+'5.a sz. mell. '!F28)</f>
        <v>0</v>
      </c>
      <c r="G29" s="142" t="e">
        <f t="shared" si="2"/>
        <v>#DIV/0!</v>
      </c>
      <c r="I29" s="1135"/>
      <c r="J29" s="1135"/>
    </row>
    <row r="30" spans="1:10" s="99" customFormat="1" ht="18.75" customHeight="1" thickBot="1" x14ac:dyDescent="0.25">
      <c r="A30" s="1308" t="s">
        <v>38</v>
      </c>
      <c r="B30" s="98"/>
      <c r="C30" s="368" t="s">
        <v>1618</v>
      </c>
      <c r="D30" s="142"/>
      <c r="E30" s="142"/>
      <c r="F30" s="141">
        <f>SUM('3. a. sz. mell'!F29+'4.a. sz. mell.'!F32+'5.a sz. mell. '!F32)</f>
        <v>0</v>
      </c>
      <c r="G30" s="142" t="e">
        <f t="shared" si="2"/>
        <v>#DIV/0!</v>
      </c>
      <c r="I30" s="1135"/>
      <c r="J30" s="1135"/>
    </row>
    <row r="31" spans="1:10" s="99" customFormat="1" ht="18.75" customHeight="1" thickBot="1" x14ac:dyDescent="0.25">
      <c r="A31" s="1308" t="s">
        <v>88</v>
      </c>
      <c r="B31" s="98"/>
      <c r="C31" s="368" t="s">
        <v>1171</v>
      </c>
      <c r="D31" s="142"/>
      <c r="E31" s="142"/>
      <c r="F31" s="141">
        <f>SUM('3. a. sz. mell'!F30+'4.a. sz. mell.'!F34+'5.a sz. mell. '!F34)</f>
        <v>0</v>
      </c>
      <c r="G31" s="142"/>
      <c r="I31" s="1135"/>
      <c r="J31" s="1135"/>
    </row>
    <row r="32" spans="1:10" s="99" customFormat="1" ht="21.75" customHeight="1" thickBot="1" x14ac:dyDescent="0.25">
      <c r="A32" s="1308" t="s">
        <v>41</v>
      </c>
      <c r="B32" s="98"/>
      <c r="C32" s="1291" t="s">
        <v>1619</v>
      </c>
      <c r="D32" s="142"/>
      <c r="E32" s="142"/>
      <c r="F32" s="1293">
        <f>SUM(F33)</f>
        <v>1180437</v>
      </c>
      <c r="G32" s="142"/>
      <c r="I32" s="1135"/>
      <c r="J32" s="1135"/>
    </row>
    <row r="33" spans="1:11" s="99" customFormat="1" ht="16.5" customHeight="1" thickBot="1" x14ac:dyDescent="0.25">
      <c r="A33" s="1308" t="s">
        <v>42</v>
      </c>
      <c r="B33" s="98"/>
      <c r="C33" s="368" t="s">
        <v>1595</v>
      </c>
      <c r="D33" s="142"/>
      <c r="E33" s="142"/>
      <c r="F33" s="141">
        <f>SUM(F34:F35)</f>
        <v>1180437</v>
      </c>
      <c r="G33" s="142"/>
      <c r="I33" s="1135"/>
      <c r="J33" s="1135"/>
    </row>
    <row r="34" spans="1:11" s="99" customFormat="1" ht="16.5" customHeight="1" thickBot="1" x14ac:dyDescent="0.25">
      <c r="A34" s="1308" t="s">
        <v>45</v>
      </c>
      <c r="B34" s="101"/>
      <c r="C34" s="1305" t="s">
        <v>1606</v>
      </c>
      <c r="D34" s="143"/>
      <c r="E34" s="143"/>
      <c r="F34" s="143"/>
      <c r="G34" s="143"/>
      <c r="I34" s="1135"/>
      <c r="J34" s="1135"/>
    </row>
    <row r="35" spans="1:11" s="99" customFormat="1" ht="16.5" customHeight="1" thickBot="1" x14ac:dyDescent="0.25">
      <c r="A35" s="1308" t="s">
        <v>46</v>
      </c>
      <c r="B35" s="101"/>
      <c r="C35" s="1305" t="s">
        <v>1628</v>
      </c>
      <c r="D35" s="143"/>
      <c r="E35" s="143"/>
      <c r="F35" s="143">
        <f>SUM('4.a. sz. mell.'!F39+'5.a sz. mell. '!F39)</f>
        <v>1180437</v>
      </c>
      <c r="G35" s="143"/>
      <c r="I35" s="1135"/>
      <c r="J35" s="1135"/>
    </row>
    <row r="36" spans="1:11" s="99" customFormat="1" ht="16.5" customHeight="1" thickBot="1" x14ac:dyDescent="0.25">
      <c r="A36" s="1308" t="s">
        <v>47</v>
      </c>
      <c r="B36" s="101"/>
      <c r="C36" s="1304" t="s">
        <v>599</v>
      </c>
      <c r="D36" s="143"/>
      <c r="E36" s="143"/>
      <c r="F36" s="1406">
        <f>SUM(F7+F28+F32)</f>
        <v>3329626</v>
      </c>
      <c r="G36" s="143"/>
      <c r="I36" s="1135"/>
      <c r="J36" s="1135"/>
      <c r="K36" s="110">
        <f>SUM(F74-F35)</f>
        <v>0</v>
      </c>
    </row>
    <row r="37" spans="1:11" s="99" customFormat="1" ht="16.5" customHeight="1" thickBot="1" x14ac:dyDescent="0.25">
      <c r="A37" s="1308" t="s">
        <v>91</v>
      </c>
      <c r="B37" s="101"/>
      <c r="C37" s="1303" t="s">
        <v>1624</v>
      </c>
      <c r="D37" s="143"/>
      <c r="E37" s="143"/>
      <c r="F37" s="141">
        <f>SUM(F35)</f>
        <v>1180437</v>
      </c>
      <c r="G37" s="143"/>
      <c r="I37" s="1135"/>
      <c r="J37" s="1135"/>
    </row>
    <row r="38" spans="1:11" s="99" customFormat="1" ht="21" customHeight="1" thickBot="1" x14ac:dyDescent="0.25">
      <c r="A38" s="1308" t="s">
        <v>92</v>
      </c>
      <c r="B38" s="151"/>
      <c r="C38" s="9" t="s">
        <v>1627</v>
      </c>
      <c r="D38" s="152" t="e">
        <f>+#REF!+#REF!+#REF!</f>
        <v>#REF!</v>
      </c>
      <c r="E38" s="152" t="e">
        <f>+#REF!+#REF!+#REF!</f>
        <v>#REF!</v>
      </c>
      <c r="F38" s="152">
        <f>SUM(F7+F28+F32-F37)</f>
        <v>2149189</v>
      </c>
      <c r="G38" s="152" t="e">
        <f t="shared" si="2"/>
        <v>#REF!</v>
      </c>
      <c r="I38" s="1135"/>
      <c r="J38" s="1135">
        <f>SUM(F79-F38)</f>
        <v>0</v>
      </c>
    </row>
    <row r="39" spans="1:11" s="99" customFormat="1" ht="15" customHeight="1" thickBot="1" x14ac:dyDescent="0.25">
      <c r="A39" s="153"/>
      <c r="B39" s="153"/>
      <c r="C39" s="154"/>
      <c r="D39" s="155"/>
      <c r="E39" s="155"/>
      <c r="F39" s="155"/>
      <c r="G39" s="155"/>
      <c r="I39" s="1135"/>
      <c r="J39" s="1135"/>
    </row>
    <row r="40" spans="1:11" s="89" customFormat="1" ht="20.25" customHeight="1" thickBot="1" x14ac:dyDescent="0.25">
      <c r="A40" s="156"/>
      <c r="B40" s="157"/>
      <c r="C40" s="121" t="s">
        <v>82</v>
      </c>
      <c r="D40" s="122"/>
      <c r="E40" s="122"/>
      <c r="F40" s="122"/>
      <c r="G40" s="122"/>
      <c r="I40" s="1135"/>
      <c r="J40" s="1135"/>
    </row>
    <row r="41" spans="1:11" s="125" customFormat="1" ht="15" customHeight="1" thickBot="1" x14ac:dyDescent="0.25">
      <c r="A41" s="1308" t="s">
        <v>2</v>
      </c>
      <c r="B41" s="2"/>
      <c r="C41" s="10" t="s">
        <v>1620</v>
      </c>
      <c r="D41" s="141">
        <f>SUM(D42:D46)+D55</f>
        <v>873535</v>
      </c>
      <c r="E41" s="141">
        <f t="shared" ref="E41" si="4">SUM(E42:E46)+E55</f>
        <v>1045962</v>
      </c>
      <c r="F41" s="141">
        <f>SUM(F42:F46)</f>
        <v>2144180</v>
      </c>
      <c r="G41" s="141">
        <f t="shared" si="2"/>
        <v>204.99597499717962</v>
      </c>
      <c r="I41" s="1135"/>
      <c r="J41" s="1135"/>
    </row>
    <row r="42" spans="1:11" ht="15" customHeight="1" x14ac:dyDescent="0.2">
      <c r="A42" s="113"/>
      <c r="B42" s="124" t="s">
        <v>50</v>
      </c>
      <c r="C42" s="3" t="s">
        <v>51</v>
      </c>
      <c r="D42" s="147">
        <f>SUM('3.2.sz.melléklet'!E173+'3.2.sz.melléklet'!E191+'3.2.sz.melléklet'!E196+'3.2.sz.melléklet'!E216)</f>
        <v>16170</v>
      </c>
      <c r="E42" s="147">
        <f>SUM('3.2.sz.melléklet'!F173+'3.2.sz.melléklet'!F191+'3.2.sz.melléklet'!F196+'3.2.sz.melléklet'!F216)</f>
        <v>49543</v>
      </c>
      <c r="F42" s="147">
        <f>SUM('3. a. sz. mell'!F37+'4.a. sz. mell.'!F45+'5.a sz. mell. '!F47)</f>
        <v>770032</v>
      </c>
      <c r="G42" s="147">
        <f t="shared" si="2"/>
        <v>1554.2700280564356</v>
      </c>
      <c r="I42" s="1135"/>
      <c r="J42" s="1135"/>
    </row>
    <row r="43" spans="1:11" ht="15" customHeight="1" x14ac:dyDescent="0.2">
      <c r="A43" s="97"/>
      <c r="B43" s="109" t="s">
        <v>52</v>
      </c>
      <c r="C43" s="3" t="s">
        <v>53</v>
      </c>
      <c r="D43" s="142">
        <f>SUM('3.2.sz.melléklet'!E7+'3.2.sz.melléklet'!E174+'3.2.sz.melléklet'!E192+'3.2.sz.melléklet'!E197+'3.2.sz.melléklet'!E217)</f>
        <v>10003</v>
      </c>
      <c r="E43" s="142">
        <f>SUM('3.2.sz.melléklet'!F7+'3.2.sz.melléklet'!F174+'3.2.sz.melléklet'!F192+'3.2.sz.melléklet'!F197+'3.2.sz.melléklet'!F217)</f>
        <v>17364</v>
      </c>
      <c r="F43" s="147">
        <f>SUM('3. a. sz. mell'!F38+'4.a. sz. mell.'!F46+'5.a sz. mell. '!F48)</f>
        <v>214475</v>
      </c>
      <c r="G43" s="142">
        <f t="shared" si="2"/>
        <v>1235.1704676341858</v>
      </c>
      <c r="I43" s="1135"/>
      <c r="J43" s="1135"/>
    </row>
    <row r="44" spans="1:11" ht="15" customHeight="1" x14ac:dyDescent="0.2">
      <c r="A44" s="97"/>
      <c r="B44" s="109" t="s">
        <v>54</v>
      </c>
      <c r="C44" s="3" t="s">
        <v>55</v>
      </c>
      <c r="D44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44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44" s="147">
        <f>SUM('3. a. sz. mell'!F39+'4.a. sz. mell.'!F47+'5.a sz. mell. '!F49)</f>
        <v>1037388</v>
      </c>
      <c r="G44" s="142">
        <f t="shared" si="2"/>
        <v>137.38946403715678</v>
      </c>
      <c r="I44" s="1135"/>
      <c r="J44" s="1135"/>
    </row>
    <row r="45" spans="1:11" ht="15" customHeight="1" x14ac:dyDescent="0.2">
      <c r="A45" s="97"/>
      <c r="B45" s="109" t="s">
        <v>56</v>
      </c>
      <c r="C45" s="3" t="s">
        <v>57</v>
      </c>
      <c r="D45" s="142">
        <f>SUM('3.2.sz.melléklet'!E116)</f>
        <v>17000</v>
      </c>
      <c r="E45" s="142">
        <f>SUM('3.2.sz.melléklet'!F116)</f>
        <v>17000</v>
      </c>
      <c r="F45" s="142">
        <f>SUM('3. a. sz. mell'!F40+'4.a. sz. mell.'!F48+'5.a sz. mell. '!F50)</f>
        <v>23000</v>
      </c>
      <c r="G45" s="142">
        <f t="shared" si="2"/>
        <v>135.29411764705884</v>
      </c>
      <c r="I45" s="1135"/>
      <c r="J45" s="1135"/>
    </row>
    <row r="46" spans="1:11" ht="15" customHeight="1" x14ac:dyDescent="0.2">
      <c r="A46" s="97"/>
      <c r="B46" s="109" t="s">
        <v>58</v>
      </c>
      <c r="C46" s="3" t="s">
        <v>59</v>
      </c>
      <c r="D46" s="142">
        <f>SUM(D47:D54)</f>
        <v>133646</v>
      </c>
      <c r="E46" s="142">
        <f>SUM(E47:E54)</f>
        <v>193789</v>
      </c>
      <c r="F46" s="142">
        <f>SUM(F47:F54)</f>
        <v>99285</v>
      </c>
      <c r="G46" s="142">
        <f t="shared" si="2"/>
        <v>51.233558148295309</v>
      </c>
      <c r="I46" s="1135"/>
      <c r="J46" s="1135"/>
    </row>
    <row r="47" spans="1:11" ht="15" customHeight="1" x14ac:dyDescent="0.2">
      <c r="A47" s="97"/>
      <c r="B47" s="109" t="s">
        <v>60</v>
      </c>
      <c r="C47" s="158" t="s">
        <v>1428</v>
      </c>
      <c r="D47" s="142"/>
      <c r="E47" s="142"/>
      <c r="F47" s="142">
        <f>SUM('3. a. sz. mell'!F42)</f>
        <v>99285</v>
      </c>
      <c r="G47" s="142"/>
      <c r="I47" s="1135"/>
      <c r="J47" s="1135"/>
    </row>
    <row r="48" spans="1:11" ht="15" customHeight="1" x14ac:dyDescent="0.2">
      <c r="A48" s="97"/>
      <c r="B48" s="109" t="s">
        <v>61</v>
      </c>
      <c r="C48" s="158" t="s">
        <v>1548</v>
      </c>
      <c r="D48" s="142"/>
      <c r="E48" s="142"/>
      <c r="F48" s="142"/>
      <c r="G48" s="142"/>
      <c r="I48" s="1135"/>
      <c r="J48" s="1135"/>
    </row>
    <row r="49" spans="1:15" ht="15" customHeight="1" thickBot="1" x14ac:dyDescent="0.25">
      <c r="A49" s="97"/>
      <c r="B49" s="109" t="s">
        <v>139</v>
      </c>
      <c r="C49" s="158" t="s">
        <v>87</v>
      </c>
      <c r="D49" s="142"/>
      <c r="E49" s="142"/>
      <c r="F49" s="142">
        <f>SUM('3. a. sz. mell'!F44)</f>
        <v>0</v>
      </c>
      <c r="G49" s="142"/>
      <c r="I49" s="1135"/>
      <c r="J49" s="1135"/>
    </row>
    <row r="50" spans="1:15" ht="15" hidden="1" customHeight="1" x14ac:dyDescent="0.2">
      <c r="A50" s="97"/>
      <c r="B50" s="109"/>
      <c r="C50" s="158"/>
      <c r="D50" s="142">
        <f>SUM('3.2.sz.melléklet'!E41)</f>
        <v>101646</v>
      </c>
      <c r="E50" s="142">
        <f>SUM('3.2.sz.melléklet'!F41)-'3.2.sz.melléklet'!F60-'3.2.sz.melléklet'!F61</f>
        <v>151236</v>
      </c>
      <c r="F50" s="142"/>
      <c r="G50" s="142">
        <f t="shared" ref="G50:G77" si="5">F50/E50*100</f>
        <v>0</v>
      </c>
      <c r="I50" s="1135"/>
      <c r="J50" s="1135"/>
    </row>
    <row r="51" spans="1:15" ht="15" hidden="1" customHeight="1" x14ac:dyDescent="0.2">
      <c r="A51" s="97"/>
      <c r="B51" s="109"/>
      <c r="C51" s="158"/>
      <c r="D51" s="142"/>
      <c r="E51" s="142">
        <f>'3.2.sz.melléklet'!F27+'3.2.sz.melléklet'!F60+'3.2.sz.melléklet'!F61</f>
        <v>10553</v>
      </c>
      <c r="F51" s="142"/>
      <c r="G51" s="142">
        <f t="shared" si="5"/>
        <v>0</v>
      </c>
      <c r="I51" s="1135"/>
      <c r="J51" s="1135"/>
    </row>
    <row r="52" spans="1:15" ht="15" hidden="1" customHeight="1" x14ac:dyDescent="0.2">
      <c r="A52" s="97"/>
      <c r="B52" s="109"/>
      <c r="C52" s="158"/>
      <c r="D52" s="142"/>
      <c r="E52" s="142"/>
      <c r="F52" s="142"/>
      <c r="G52" s="142"/>
      <c r="I52" s="1135"/>
      <c r="J52" s="1135"/>
    </row>
    <row r="53" spans="1:15" ht="15" hidden="1" customHeight="1" x14ac:dyDescent="0.2">
      <c r="A53" s="97"/>
      <c r="B53" s="109"/>
      <c r="C53" s="158"/>
      <c r="D53" s="142">
        <f>SUM('3.2.sz.melléklet'!E17)</f>
        <v>32000</v>
      </c>
      <c r="E53" s="142">
        <f>SUM('3.2.sz.melléklet'!F17)</f>
        <v>32000</v>
      </c>
      <c r="F53" s="142"/>
      <c r="G53" s="142"/>
      <c r="I53" s="1135"/>
      <c r="J53" s="1135"/>
    </row>
    <row r="54" spans="1:15" ht="15" hidden="1" customHeight="1" x14ac:dyDescent="0.2">
      <c r="A54" s="104"/>
      <c r="B54" s="109"/>
      <c r="C54" s="158"/>
      <c r="D54" s="145"/>
      <c r="E54" s="145"/>
      <c r="F54" s="145"/>
      <c r="G54" s="145"/>
      <c r="I54" s="1135"/>
      <c r="J54" s="1135"/>
    </row>
    <row r="55" spans="1:15" ht="15" hidden="1" customHeight="1" x14ac:dyDescent="0.2">
      <c r="A55" s="1310"/>
      <c r="B55" s="112"/>
      <c r="C55" s="129"/>
      <c r="D55" s="159">
        <f>SUM('3.2.sz.melléklet'!E124)</f>
        <v>143605</v>
      </c>
      <c r="E55" s="159">
        <f>'3.2.sz.melléklet'!F122</f>
        <v>13195</v>
      </c>
      <c r="F55" s="159"/>
      <c r="G55" s="159"/>
      <c r="I55" s="1135"/>
      <c r="J55" s="1135"/>
    </row>
    <row r="56" spans="1:15" ht="15" customHeight="1" thickBot="1" x14ac:dyDescent="0.25">
      <c r="A56" s="1308" t="s">
        <v>3</v>
      </c>
      <c r="B56" s="2"/>
      <c r="C56" s="10" t="s">
        <v>140</v>
      </c>
      <c r="D56" s="141">
        <f>SUM(D57:D59)</f>
        <v>222432</v>
      </c>
      <c r="E56" s="141">
        <f>SUM(E57:E59)</f>
        <v>696460</v>
      </c>
      <c r="F56" s="141">
        <f>SUM(F57:F59)</f>
        <v>5009</v>
      </c>
      <c r="G56" s="141">
        <f t="shared" si="5"/>
        <v>0.71920856904919162</v>
      </c>
      <c r="I56" s="1135"/>
      <c r="J56" s="1135"/>
    </row>
    <row r="57" spans="1:15" s="125" customFormat="1" ht="15" customHeight="1" x14ac:dyDescent="0.2">
      <c r="A57" s="113"/>
      <c r="B57" s="109" t="s">
        <v>141</v>
      </c>
      <c r="C57" s="3" t="s">
        <v>142</v>
      </c>
      <c r="D57" s="147">
        <f>SUM('3.2.sz.melléklet'!E140)</f>
        <v>91500</v>
      </c>
      <c r="E57" s="147">
        <f>SUM('3.2.sz.melléklet'!F140)</f>
        <v>595591</v>
      </c>
      <c r="F57" s="147">
        <f>SUM('3. a. sz. mell'!F52+'4.a. sz. mell.'!F53+'5.a sz. mell. '!F53)</f>
        <v>5009</v>
      </c>
      <c r="G57" s="147">
        <f t="shared" si="5"/>
        <v>0.8410133799872731</v>
      </c>
      <c r="I57" s="1135"/>
      <c r="J57" s="1135"/>
    </row>
    <row r="58" spans="1:15" ht="15" customHeight="1" x14ac:dyDescent="0.2">
      <c r="A58" s="97"/>
      <c r="B58" s="109" t="s">
        <v>143</v>
      </c>
      <c r="C58" s="3" t="s">
        <v>64</v>
      </c>
      <c r="D58" s="142">
        <f>SUM('3.2.sz.melléklet'!E139)</f>
        <v>25000</v>
      </c>
      <c r="E58" s="142">
        <f>SUM('3.2.sz.melléklet'!F139)</f>
        <v>25000</v>
      </c>
      <c r="F58" s="142"/>
      <c r="G58" s="142">
        <f t="shared" si="5"/>
        <v>0</v>
      </c>
      <c r="I58" s="1135"/>
      <c r="J58" s="1135"/>
    </row>
    <row r="59" spans="1:15" ht="15" customHeight="1" x14ac:dyDescent="0.2">
      <c r="A59" s="97"/>
      <c r="B59" s="109" t="s">
        <v>144</v>
      </c>
      <c r="C59" s="3" t="s">
        <v>66</v>
      </c>
      <c r="D59" s="142">
        <f>SUM(D62+D61)</f>
        <v>105932</v>
      </c>
      <c r="E59" s="142">
        <f t="shared" ref="E59" si="6">SUM(E62+E61)</f>
        <v>75869</v>
      </c>
      <c r="F59" s="142"/>
      <c r="G59" s="142">
        <f t="shared" si="5"/>
        <v>0</v>
      </c>
      <c r="I59" s="1135"/>
      <c r="J59" s="1135"/>
    </row>
    <row r="60" spans="1:15" ht="15" customHeight="1" x14ac:dyDescent="0.2">
      <c r="A60" s="1294"/>
      <c r="B60" s="1295" t="s">
        <v>469</v>
      </c>
      <c r="C60" s="158" t="s">
        <v>1621</v>
      </c>
      <c r="D60" s="1296"/>
      <c r="E60" s="1296"/>
      <c r="F60" s="1296"/>
      <c r="G60" s="1296"/>
      <c r="I60" s="1135"/>
      <c r="J60" s="1135"/>
    </row>
    <row r="61" spans="1:15" ht="15" customHeight="1" x14ac:dyDescent="0.2">
      <c r="A61" s="97"/>
      <c r="B61" s="1295" t="s">
        <v>470</v>
      </c>
      <c r="C61" s="158" t="s">
        <v>62</v>
      </c>
      <c r="D61" s="142">
        <f>SUM('3.2.sz.melléklet'!E148+'3.2.sz.melléklet'!E149)</f>
        <v>54500</v>
      </c>
      <c r="E61" s="142">
        <f>SUM('3.2.sz.melléklet'!F148+'3.2.sz.melléklet'!F149)</f>
        <v>54500</v>
      </c>
      <c r="F61" s="142"/>
      <c r="G61" s="142">
        <f t="shared" si="5"/>
        <v>0</v>
      </c>
      <c r="I61" s="1135"/>
      <c r="J61" s="1135"/>
    </row>
    <row r="62" spans="1:15" s="125" customFormat="1" ht="15" customHeight="1" thickBot="1" x14ac:dyDescent="0.25">
      <c r="A62" s="97"/>
      <c r="B62" s="1295" t="s">
        <v>471</v>
      </c>
      <c r="C62" s="158" t="s">
        <v>87</v>
      </c>
      <c r="D62" s="142">
        <f>SUM(D63:D65)</f>
        <v>51432</v>
      </c>
      <c r="E62" s="142">
        <f t="shared" ref="E62" si="7">SUM(E63:E65)</f>
        <v>21369</v>
      </c>
      <c r="F62" s="142"/>
      <c r="G62" s="142">
        <f t="shared" si="5"/>
        <v>0</v>
      </c>
      <c r="I62" s="1135"/>
      <c r="J62" s="1135"/>
    </row>
    <row r="63" spans="1:15" ht="15" hidden="1" customHeight="1" x14ac:dyDescent="0.25">
      <c r="A63" s="97"/>
      <c r="B63" s="109"/>
      <c r="C63" s="160"/>
      <c r="D63" s="161">
        <f>SUM('3.2.sz.melléklet'!E144)</f>
        <v>51432</v>
      </c>
      <c r="E63" s="161">
        <f>SUM('3.2.sz.melléklet'!F144)</f>
        <v>21369</v>
      </c>
      <c r="F63" s="161"/>
      <c r="G63" s="161">
        <f t="shared" si="5"/>
        <v>0</v>
      </c>
      <c r="I63" s="1135"/>
      <c r="J63" s="1135"/>
      <c r="O63" s="127"/>
    </row>
    <row r="64" spans="1:15" ht="15" hidden="1" customHeight="1" x14ac:dyDescent="0.25">
      <c r="A64" s="97"/>
      <c r="B64" s="109"/>
      <c r="C64" s="160"/>
      <c r="D64" s="161"/>
      <c r="E64" s="161"/>
      <c r="F64" s="161"/>
      <c r="G64" s="161"/>
      <c r="I64" s="1135"/>
      <c r="J64" s="1135"/>
    </row>
    <row r="65" spans="1:10" ht="15" hidden="1" customHeight="1" x14ac:dyDescent="0.25">
      <c r="A65" s="104"/>
      <c r="B65" s="109"/>
      <c r="C65" s="162"/>
      <c r="D65" s="163"/>
      <c r="E65" s="163"/>
      <c r="F65" s="163">
        <f>'3.2.sz.melléklet'!G142</f>
        <v>0</v>
      </c>
      <c r="G65" s="163"/>
      <c r="I65" s="1135"/>
      <c r="J65" s="1135"/>
    </row>
    <row r="66" spans="1:10" ht="15" hidden="1" customHeight="1" x14ac:dyDescent="0.2">
      <c r="A66" s="1308"/>
      <c r="B66" s="2"/>
      <c r="C66" s="10"/>
      <c r="D66" s="119"/>
      <c r="E66" s="119">
        <f>'3.2.sz.melléklet'!F147</f>
        <v>6831</v>
      </c>
      <c r="F66" s="119"/>
      <c r="G66" s="119">
        <f t="shared" si="5"/>
        <v>0</v>
      </c>
      <c r="I66" s="1135"/>
      <c r="J66" s="1135"/>
    </row>
    <row r="67" spans="1:10" s="125" customFormat="1" ht="15" hidden="1" customHeight="1" x14ac:dyDescent="0.2">
      <c r="A67" s="1308"/>
      <c r="B67" s="2"/>
      <c r="C67" s="10"/>
      <c r="D67" s="141">
        <f>+D68+D70</f>
        <v>115000</v>
      </c>
      <c r="E67" s="141">
        <f t="shared" ref="E67:F67" si="8">+E68+E70</f>
        <v>258544</v>
      </c>
      <c r="F67" s="141">
        <f t="shared" si="8"/>
        <v>0</v>
      </c>
      <c r="G67" s="141">
        <f t="shared" si="5"/>
        <v>0</v>
      </c>
      <c r="I67" s="1135"/>
      <c r="J67" s="1135"/>
    </row>
    <row r="68" spans="1:10" s="125" customFormat="1" ht="15" hidden="1" customHeight="1" x14ac:dyDescent="0.2">
      <c r="A68" s="113"/>
      <c r="B68" s="124"/>
      <c r="C68" s="3"/>
      <c r="D68" s="147">
        <f>SUM('3.2.sz.melléklet'!E157)</f>
        <v>20000</v>
      </c>
      <c r="E68" s="147"/>
      <c r="F68" s="147">
        <f>SUM('3.2.sz.melléklet'!G157)</f>
        <v>0</v>
      </c>
      <c r="G68" s="147" t="e">
        <f t="shared" si="5"/>
        <v>#DIV/0!</v>
      </c>
      <c r="I68" s="1135"/>
      <c r="J68" s="1135"/>
    </row>
    <row r="69" spans="1:10" s="125" customFormat="1" ht="15" hidden="1" customHeight="1" x14ac:dyDescent="0.2">
      <c r="A69" s="100"/>
      <c r="B69" s="126"/>
      <c r="C69" s="3"/>
      <c r="D69" s="143"/>
      <c r="E69" s="147"/>
      <c r="F69" s="143"/>
      <c r="G69" s="143"/>
      <c r="I69" s="1135"/>
      <c r="J69" s="1135"/>
    </row>
    <row r="70" spans="1:10" s="125" customFormat="1" ht="15" hidden="1" customHeight="1" x14ac:dyDescent="0.2">
      <c r="A70" s="104"/>
      <c r="B70" s="118"/>
      <c r="C70" s="3"/>
      <c r="D70" s="145">
        <f>SUM('3.2.sz.melléklet'!E158)</f>
        <v>95000</v>
      </c>
      <c r="E70" s="145">
        <f>SUM('3.2.sz.melléklet'!F158)</f>
        <v>258544</v>
      </c>
      <c r="F70" s="145"/>
      <c r="G70" s="145">
        <f t="shared" si="5"/>
        <v>0</v>
      </c>
      <c r="I70" s="1135"/>
      <c r="J70" s="1135"/>
    </row>
    <row r="71" spans="1:10" s="125" customFormat="1" ht="15" hidden="1" customHeight="1" thickBot="1" x14ac:dyDescent="0.25">
      <c r="A71" s="1308"/>
      <c r="B71" s="130"/>
      <c r="C71" s="10"/>
      <c r="D71" s="119">
        <f>SUM('3.2.sz.melléklet'!E33)</f>
        <v>1251895</v>
      </c>
      <c r="E71" s="119" t="e">
        <f>SUM('3.2.sz.melléklet'!F33)</f>
        <v>#REF!</v>
      </c>
      <c r="F71" s="119"/>
      <c r="G71" s="119" t="e">
        <f t="shared" si="5"/>
        <v>#REF!</v>
      </c>
      <c r="I71" s="1135"/>
      <c r="J71" s="1135"/>
    </row>
    <row r="72" spans="1:10" s="125" customFormat="1" ht="15" customHeight="1" thickBot="1" x14ac:dyDescent="0.25">
      <c r="A72" s="1308"/>
      <c r="B72" s="2"/>
      <c r="C72" s="8"/>
      <c r="D72" s="164">
        <f>+D41+D56+D66+D67+D71</f>
        <v>2462862</v>
      </c>
      <c r="E72" s="164" t="e">
        <f>+E41+E56+E66+E67+E71</f>
        <v>#REF!</v>
      </c>
      <c r="F72" s="164"/>
      <c r="G72" s="164" t="e">
        <f t="shared" si="5"/>
        <v>#REF!</v>
      </c>
      <c r="I72" s="1135"/>
      <c r="J72" s="1135"/>
    </row>
    <row r="73" spans="1:10" s="125" customFormat="1" ht="15" customHeight="1" thickBot="1" x14ac:dyDescent="0.25">
      <c r="A73" s="1308" t="s">
        <v>12</v>
      </c>
      <c r="B73" s="2"/>
      <c r="C73" s="10" t="s">
        <v>1623</v>
      </c>
      <c r="D73" s="141">
        <f>+D74+D75</f>
        <v>64000</v>
      </c>
      <c r="E73" s="141">
        <f t="shared" ref="E73:F73" si="9">+E74+E75</f>
        <v>64000</v>
      </c>
      <c r="F73" s="141">
        <f t="shared" si="9"/>
        <v>1180437</v>
      </c>
      <c r="G73" s="141">
        <f t="shared" si="5"/>
        <v>1844.4328124999997</v>
      </c>
      <c r="I73" s="1135"/>
      <c r="J73" s="1135"/>
    </row>
    <row r="74" spans="1:10" ht="15" customHeight="1" x14ac:dyDescent="0.2">
      <c r="A74" s="113"/>
      <c r="B74" s="118" t="s">
        <v>720</v>
      </c>
      <c r="C74" s="3" t="s">
        <v>1622</v>
      </c>
      <c r="D74" s="147"/>
      <c r="E74" s="147"/>
      <c r="F74" s="147">
        <f>SUM('3. a. sz. mell'!F69)</f>
        <v>1180437</v>
      </c>
      <c r="G74" s="147"/>
      <c r="I74" s="1135"/>
      <c r="J74" s="1135"/>
    </row>
    <row r="75" spans="1:10" ht="15" customHeight="1" thickBot="1" x14ac:dyDescent="0.25">
      <c r="A75" s="104"/>
      <c r="B75" s="118" t="s">
        <v>538</v>
      </c>
      <c r="C75" s="3" t="s">
        <v>135</v>
      </c>
      <c r="D75" s="145">
        <f>SUM('3.2.sz.melléklet'!E162)</f>
        <v>64000</v>
      </c>
      <c r="E75" s="145">
        <f>SUM('3.2.sz.melléklet'!F162)</f>
        <v>64000</v>
      </c>
      <c r="F75" s="145">
        <f>SUM('3. a. sz. mell'!F70)</f>
        <v>0</v>
      </c>
      <c r="G75" s="145">
        <f t="shared" si="5"/>
        <v>0</v>
      </c>
      <c r="I75" s="1135"/>
      <c r="J75" s="1135"/>
    </row>
    <row r="76" spans="1:10" s="99" customFormat="1" ht="15" customHeight="1" thickBot="1" x14ac:dyDescent="0.25">
      <c r="A76" s="1308"/>
      <c r="B76" s="2"/>
      <c r="C76" s="10"/>
      <c r="D76" s="119"/>
      <c r="E76" s="119"/>
      <c r="F76" s="119">
        <f>'3.2.sz.melléklet'!G230</f>
        <v>0</v>
      </c>
      <c r="G76" s="119"/>
      <c r="I76" s="1135"/>
      <c r="J76" s="1135"/>
    </row>
    <row r="77" spans="1:10" ht="15" customHeight="1" thickBot="1" x14ac:dyDescent="0.25">
      <c r="A77" s="150"/>
      <c r="B77" s="151"/>
      <c r="C77" s="9" t="s">
        <v>984</v>
      </c>
      <c r="D77" s="152">
        <f>+D72+D73</f>
        <v>2526862</v>
      </c>
      <c r="E77" s="152" t="e">
        <f t="shared" ref="E77" si="10">+E72+E73</f>
        <v>#REF!</v>
      </c>
      <c r="F77" s="152">
        <f>SUM(F41+F56+F73)</f>
        <v>3329626</v>
      </c>
      <c r="G77" s="152" t="e">
        <f t="shared" si="5"/>
        <v>#REF!</v>
      </c>
      <c r="I77" s="1135"/>
      <c r="J77" s="1135"/>
    </row>
    <row r="78" spans="1:10" ht="21.75" customHeight="1" x14ac:dyDescent="0.2">
      <c r="A78" s="1297"/>
      <c r="B78" s="1298"/>
      <c r="C78" s="1300" t="s">
        <v>1624</v>
      </c>
      <c r="D78" s="1299"/>
      <c r="E78" s="1299"/>
      <c r="F78" s="1299">
        <f>SUM(F74)</f>
        <v>1180437</v>
      </c>
      <c r="G78" s="1299"/>
      <c r="I78" s="1135"/>
      <c r="J78" s="1135"/>
    </row>
    <row r="79" spans="1:10" ht="20.25" customHeight="1" thickBot="1" x14ac:dyDescent="0.25">
      <c r="A79" s="165"/>
      <c r="B79" s="166"/>
      <c r="C79" s="1302" t="s">
        <v>1625</v>
      </c>
      <c r="D79" s="132"/>
      <c r="E79" s="132"/>
      <c r="F79" s="1301">
        <f>SUM(F77-F78)</f>
        <v>2149189</v>
      </c>
      <c r="G79" s="132"/>
      <c r="I79" s="1135"/>
      <c r="J79" s="1135"/>
    </row>
    <row r="80" spans="1:10" ht="20.25" customHeight="1" thickBot="1" x14ac:dyDescent="0.25">
      <c r="A80" s="1520" t="s">
        <v>136</v>
      </c>
      <c r="B80" s="1520"/>
      <c r="C80" s="1520"/>
      <c r="D80" s="136">
        <f>SUM('3.2.sz.melléklet'!E199+'3.2.sz.melléklet'!E182)</f>
        <v>9.5</v>
      </c>
      <c r="E80" s="136">
        <f>SUM('3.2.sz.melléklet'!F199+'3.2.sz.melléklet'!F182)</f>
        <v>9.5</v>
      </c>
      <c r="F80" s="136"/>
      <c r="G80" s="136"/>
      <c r="I80" s="1135"/>
      <c r="J80" s="1136"/>
    </row>
    <row r="81" spans="1:10" ht="15" customHeight="1" thickBot="1" x14ac:dyDescent="0.25">
      <c r="A81" s="1520" t="s">
        <v>137</v>
      </c>
      <c r="B81" s="1520"/>
      <c r="C81" s="1520"/>
      <c r="D81" s="167">
        <v>13.5</v>
      </c>
      <c r="E81" s="167">
        <v>13.5</v>
      </c>
      <c r="F81" s="167"/>
      <c r="G81" s="167"/>
      <c r="I81" s="1135"/>
      <c r="J81" s="1136"/>
    </row>
    <row r="82" spans="1:10" ht="15" customHeight="1" x14ac:dyDescent="0.2"/>
    <row r="83" spans="1:10" ht="15" customHeight="1" x14ac:dyDescent="0.2"/>
    <row r="84" spans="1:10" ht="13.5" thickBot="1" x14ac:dyDescent="0.25"/>
    <row r="85" spans="1:10" ht="16.5" thickBot="1" x14ac:dyDescent="0.25">
      <c r="E85" s="152">
        <v>4969009</v>
      </c>
      <c r="F85" s="152">
        <v>4971068</v>
      </c>
    </row>
    <row r="88" spans="1:10" ht="15.75" x14ac:dyDescent="0.2">
      <c r="E88" s="971" t="e">
        <f>SUM(E85-E77)</f>
        <v>#REF!</v>
      </c>
      <c r="F88" s="971">
        <f>SUM(F85-F77)</f>
        <v>1641442</v>
      </c>
    </row>
  </sheetData>
  <sheetProtection selectLockedCells="1" selectUnlockedCells="1"/>
  <mergeCells count="8">
    <mergeCell ref="A80:C80"/>
    <mergeCell ref="A81:C81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és intézményei 2014. évi 
 kötelező feladatainak bevételei és kiadásai&amp;R&amp;"Times New Roman,Normál"&amp;11 &amp;12 2.a. sz. melléklet
Ezer Ft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64"/>
  <sheetViews>
    <sheetView view="pageBreakPreview" zoomScaleNormal="130" workbookViewId="0">
      <selection activeCell="I14" sqref="I14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2" style="76" customWidth="1"/>
    <col min="4" max="4" width="11.83203125" style="76" hidden="1" customWidth="1"/>
    <col min="5" max="5" width="13.33203125" style="76" hidden="1" customWidth="1"/>
    <col min="6" max="6" width="19" style="76" customWidth="1"/>
    <col min="7" max="7" width="9.1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1813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566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1519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50" t="s">
        <v>2</v>
      </c>
      <c r="B8" s="94"/>
      <c r="C8" s="1142" t="s">
        <v>1774</v>
      </c>
      <c r="D8" s="141">
        <f>SUM(D9:D18)</f>
        <v>6917</v>
      </c>
      <c r="E8" s="141">
        <f t="shared" ref="E8:F8" si="0">SUM(E9:E18)</f>
        <v>6917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3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2500</v>
      </c>
      <c r="E11" s="142">
        <v>2500</v>
      </c>
      <c r="F11" s="1174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2571</v>
      </c>
      <c r="E12" s="142">
        <v>2571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907</v>
      </c>
      <c r="E13" s="142">
        <v>907</v>
      </c>
      <c r="F13" s="1174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939</v>
      </c>
      <c r="E14" s="143">
        <v>939</v>
      </c>
      <c r="F14" s="142">
        <v>0</v>
      </c>
      <c r="G14" s="143">
        <f>F14/E14*100</f>
        <v>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174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10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4">
        <v>0</v>
      </c>
      <c r="G17" s="117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10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23819</v>
      </c>
      <c r="E19" s="141">
        <f t="shared" ref="E19:F19" si="1">SUM(E20:E25)</f>
        <v>24503</v>
      </c>
      <c r="F19" s="141">
        <f t="shared" si="1"/>
        <v>0</v>
      </c>
      <c r="G19" s="141">
        <f>F19/E19*100</f>
        <v>0</v>
      </c>
    </row>
    <row r="20" spans="1:10" s="99" customFormat="1" ht="15" customHeight="1" x14ac:dyDescent="0.2">
      <c r="A20" s="97"/>
      <c r="B20" s="98" t="s">
        <v>4</v>
      </c>
      <c r="C20" s="1151" t="s">
        <v>1483</v>
      </c>
      <c r="D20" s="142">
        <v>23819</v>
      </c>
      <c r="E20" s="142">
        <v>24503</v>
      </c>
      <c r="F20" s="142">
        <v>0</v>
      </c>
      <c r="G20" s="142">
        <f>F20/E20*100</f>
        <v>0</v>
      </c>
      <c r="I20" s="110"/>
      <c r="J20" s="110"/>
    </row>
    <row r="21" spans="1:10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  <c r="I21" s="110"/>
      <c r="J21" s="110"/>
    </row>
    <row r="22" spans="1:10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  <c r="I22" s="110"/>
      <c r="J22" s="110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  <c r="I23" s="110"/>
      <c r="J23" s="110"/>
    </row>
    <row r="24" spans="1:10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  <c r="I24" s="110"/>
      <c r="J24" s="110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  <c r="I25" s="110"/>
      <c r="J25" s="110"/>
    </row>
    <row r="26" spans="1:10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41">
        <v>0</v>
      </c>
      <c r="G26" s="143"/>
      <c r="I26" s="141">
        <f t="shared" ref="I26" si="2">SUM(I27:I32)</f>
        <v>0</v>
      </c>
      <c r="J26" s="110"/>
    </row>
    <row r="27" spans="1:10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  <c r="I27" s="110"/>
      <c r="J27" s="110"/>
    </row>
    <row r="28" spans="1:10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  <c r="I28" s="110"/>
      <c r="J28" s="110"/>
    </row>
    <row r="29" spans="1:10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  <c r="I29" s="110"/>
      <c r="J29" s="110"/>
    </row>
    <row r="30" spans="1:10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  <c r="I30" s="110"/>
      <c r="J30" s="110"/>
    </row>
    <row r="31" spans="1:10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  <c r="I31" s="110"/>
      <c r="J31" s="110"/>
    </row>
    <row r="32" spans="1:10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  <c r="I32" s="404"/>
      <c r="J32" s="404"/>
    </row>
    <row r="33" spans="1:11" s="96" customFormat="1" ht="15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3">+E34+E35</f>
        <v>97</v>
      </c>
      <c r="F33" s="148">
        <f t="shared" si="3"/>
        <v>0</v>
      </c>
      <c r="G33" s="148"/>
      <c r="I33" s="404"/>
      <c r="J33" s="404"/>
    </row>
    <row r="34" spans="1:11" s="96" customFormat="1" ht="15" hidden="1" customHeight="1" thickBot="1" x14ac:dyDescent="0.25">
      <c r="A34" s="1133"/>
      <c r="B34" s="108" t="s">
        <v>28</v>
      </c>
      <c r="C34" s="4" t="s">
        <v>507</v>
      </c>
      <c r="D34" s="149">
        <v>0</v>
      </c>
      <c r="E34" s="149">
        <v>97</v>
      </c>
      <c r="F34" s="149"/>
      <c r="G34" s="149"/>
      <c r="I34" s="404"/>
      <c r="J34" s="404"/>
    </row>
    <row r="35" spans="1:11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  <c r="I35" s="404"/>
      <c r="J35" s="404"/>
    </row>
    <row r="36" spans="1:11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  <c r="I36" s="404"/>
      <c r="J36" s="404"/>
    </row>
    <row r="37" spans="1:11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174">
        <v>0</v>
      </c>
      <c r="G37" s="1185"/>
      <c r="I37" s="404"/>
      <c r="J37" s="404"/>
    </row>
    <row r="38" spans="1:11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  <c r="I38" s="404"/>
      <c r="J38" s="404"/>
    </row>
    <row r="39" spans="1:11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  <c r="I39" s="404"/>
      <c r="J39" s="404"/>
    </row>
    <row r="40" spans="1:11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2">
        <f>SUM(F41:F43)</f>
        <v>0</v>
      </c>
      <c r="G40" s="1185"/>
      <c r="I40" s="404"/>
      <c r="J40" s="404"/>
    </row>
    <row r="41" spans="1:11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  <c r="I41" s="404"/>
      <c r="J41" s="404"/>
    </row>
    <row r="42" spans="1:11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  <c r="I42" s="404"/>
      <c r="J42" s="404"/>
    </row>
    <row r="43" spans="1:11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26907</v>
      </c>
      <c r="E43" s="119">
        <v>27958</v>
      </c>
      <c r="F43" s="142"/>
      <c r="G43" s="119">
        <f>F43/E43*100</f>
        <v>0</v>
      </c>
      <c r="I43" s="110"/>
      <c r="J43" s="110"/>
      <c r="K43" s="110">
        <f>SUM(F61-F45)</f>
        <v>0</v>
      </c>
    </row>
    <row r="44" spans="1:11" s="99" customFormat="1" ht="15" hidden="1" customHeight="1" thickBot="1" x14ac:dyDescent="0.3">
      <c r="A44" s="116"/>
      <c r="B44" s="117"/>
      <c r="C44" s="2" t="s">
        <v>542</v>
      </c>
      <c r="D44" s="119"/>
      <c r="E44" s="119"/>
      <c r="F44" s="119"/>
      <c r="G44" s="119"/>
    </row>
    <row r="45" spans="1:11" s="99" customFormat="1" ht="15" customHeight="1" thickBot="1" x14ac:dyDescent="0.25">
      <c r="A45" s="150" t="s">
        <v>38</v>
      </c>
      <c r="B45" s="151"/>
      <c r="C45" s="354" t="s">
        <v>510</v>
      </c>
      <c r="D45" s="152">
        <f>SUM(D8,D19,D28,D32,D33,D43)</f>
        <v>57643</v>
      </c>
      <c r="E45" s="152">
        <f>SUM(E8,E19,E28,E32,E33,E43)</f>
        <v>59475</v>
      </c>
      <c r="F45" s="152">
        <f>SUM(F8,F19,F28,F32,F33,F36,F38,F40)</f>
        <v>0</v>
      </c>
      <c r="G45" s="152">
        <f>F45/E45*100</f>
        <v>0</v>
      </c>
      <c r="I45" s="110"/>
      <c r="J45" s="110"/>
    </row>
    <row r="46" spans="1:11" s="99" customFormat="1" ht="15" customHeight="1" thickBot="1" x14ac:dyDescent="0.25">
      <c r="A46" s="336"/>
      <c r="B46" s="336"/>
      <c r="C46" s="355"/>
      <c r="D46" s="388"/>
      <c r="E46" s="388"/>
      <c r="F46" s="388"/>
      <c r="G46" s="388"/>
    </row>
    <row r="47" spans="1:11" s="411" customFormat="1" ht="15" customHeight="1" thickBot="1" x14ac:dyDescent="0.25">
      <c r="A47" s="150"/>
      <c r="B47" s="151"/>
      <c r="C47" s="387" t="s">
        <v>82</v>
      </c>
      <c r="D47" s="152"/>
      <c r="E47" s="152"/>
      <c r="F47" s="152"/>
      <c r="G47" s="152"/>
    </row>
    <row r="48" spans="1:11" s="96" customFormat="1" ht="15" customHeight="1" thickBot="1" x14ac:dyDescent="0.25">
      <c r="A48" s="1132" t="s">
        <v>2</v>
      </c>
      <c r="B48" s="2"/>
      <c r="C48" s="1156" t="s">
        <v>49</v>
      </c>
      <c r="D48" s="141">
        <f>SUM(D49:D53)</f>
        <v>57643</v>
      </c>
      <c r="E48" s="141">
        <f t="shared" ref="E48:F48" si="4">SUM(E49:E53)</f>
        <v>59475</v>
      </c>
      <c r="F48" s="141">
        <f t="shared" si="4"/>
        <v>0</v>
      </c>
      <c r="G48" s="141">
        <f>F48/E48*100</f>
        <v>0</v>
      </c>
    </row>
    <row r="49" spans="1:7" s="99" customFormat="1" ht="15" customHeight="1" x14ac:dyDescent="0.2">
      <c r="A49" s="113"/>
      <c r="B49" s="1165" t="s">
        <v>50</v>
      </c>
      <c r="C49" s="7" t="s">
        <v>51</v>
      </c>
      <c r="D49" s="147">
        <v>32955</v>
      </c>
      <c r="E49" s="147">
        <v>34286</v>
      </c>
      <c r="F49" s="147">
        <v>0</v>
      </c>
      <c r="G49" s="147">
        <f>F49/E49*100</f>
        <v>0</v>
      </c>
    </row>
    <row r="50" spans="1:7" s="99" customFormat="1" ht="15" customHeight="1" x14ac:dyDescent="0.2">
      <c r="A50" s="97"/>
      <c r="B50" s="1166" t="s">
        <v>52</v>
      </c>
      <c r="C50" s="3" t="s">
        <v>53</v>
      </c>
      <c r="D50" s="142">
        <v>8632</v>
      </c>
      <c r="E50" s="142">
        <v>8991</v>
      </c>
      <c r="F50" s="142">
        <v>0</v>
      </c>
      <c r="G50" s="142">
        <f>F50/E50*100</f>
        <v>0</v>
      </c>
    </row>
    <row r="51" spans="1:7" s="99" customFormat="1" ht="15" customHeight="1" x14ac:dyDescent="0.2">
      <c r="A51" s="97"/>
      <c r="B51" s="1166" t="s">
        <v>54</v>
      </c>
      <c r="C51" s="3" t="s">
        <v>55</v>
      </c>
      <c r="D51" s="142">
        <v>16056</v>
      </c>
      <c r="E51" s="142">
        <v>16198</v>
      </c>
      <c r="F51" s="142">
        <v>0</v>
      </c>
      <c r="G51" s="142">
        <f>F51/E51*100</f>
        <v>0</v>
      </c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9" t="s">
        <v>3</v>
      </c>
      <c r="B54" s="2"/>
      <c r="C54" s="1156" t="s">
        <v>1513</v>
      </c>
      <c r="D54" s="141">
        <f>SUM(D55:D58)</f>
        <v>0</v>
      </c>
      <c r="E54" s="141">
        <f t="shared" ref="E54:F54" si="5">SUM(E55:E58)</f>
        <v>0</v>
      </c>
      <c r="F54" s="141">
        <f t="shared" si="5"/>
        <v>0</v>
      </c>
      <c r="G54" s="141"/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0</v>
      </c>
      <c r="F55" s="147">
        <v>0</v>
      </c>
      <c r="G55" s="147"/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+D48+D54+D59</f>
        <v>57643</v>
      </c>
      <c r="E61" s="152">
        <f t="shared" ref="E61" si="6">+E48+E54+E59</f>
        <v>59475</v>
      </c>
      <c r="F61" s="152">
        <f>+F48+F54+F59+F60</f>
        <v>0</v>
      </c>
      <c r="G61" s="152">
        <f>F61/E61*100</f>
        <v>0</v>
      </c>
    </row>
    <row r="62" spans="1:7" s="99" customFormat="1" ht="15" customHeight="1" thickBot="1" x14ac:dyDescent="0.25">
      <c r="A62" s="131"/>
      <c r="B62" s="132"/>
      <c r="C62" s="132"/>
      <c r="D62" s="132"/>
      <c r="E62" s="132"/>
      <c r="F62" s="132"/>
      <c r="G62" s="132"/>
    </row>
    <row r="63" spans="1:7" s="99" customFormat="1" ht="15" customHeight="1" thickBot="1" x14ac:dyDescent="0.25">
      <c r="A63" s="133" t="s">
        <v>136</v>
      </c>
      <c r="B63" s="134"/>
      <c r="C63" s="135"/>
      <c r="D63" s="136">
        <v>21</v>
      </c>
      <c r="E63" s="136">
        <v>21</v>
      </c>
      <c r="F63" s="136"/>
      <c r="G63" s="13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3622047244094491" right="0.27559055118110237" top="0.39370078740157483" bottom="0.35433070866141736" header="0.19685039370078741" footer="0.15748031496062992"/>
  <pageSetup paperSize="9" scale="72" firstPageNumber="77" orientation="portrait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64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2" style="76" customWidth="1"/>
    <col min="4" max="4" width="11.83203125" style="76" hidden="1" customWidth="1"/>
    <col min="5" max="5" width="13.33203125" style="76" hidden="1" customWidth="1"/>
    <col min="6" max="6" width="19" style="76" customWidth="1"/>
    <col min="7" max="7" width="9.1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1814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566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1520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9" t="s">
        <v>2</v>
      </c>
      <c r="B8" s="94"/>
      <c r="C8" s="1142" t="s">
        <v>1774</v>
      </c>
      <c r="D8" s="141">
        <f>SUM(D9:D18)</f>
        <v>6917</v>
      </c>
      <c r="E8" s="141">
        <f t="shared" ref="E8:F8" si="0">SUM(E9:E18)</f>
        <v>6917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/>
      <c r="E10" s="142"/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2500</v>
      </c>
      <c r="E11" s="142">
        <v>2500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2571</v>
      </c>
      <c r="E12" s="142">
        <v>2571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907</v>
      </c>
      <c r="E13" s="142">
        <v>907</v>
      </c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939</v>
      </c>
      <c r="E14" s="143">
        <v>939</v>
      </c>
      <c r="F14" s="142">
        <v>0</v>
      </c>
      <c r="G14" s="143">
        <f>F14/E14*100</f>
        <v>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/>
      <c r="F16" s="142">
        <v>0</v>
      </c>
      <c r="G16" s="142"/>
    </row>
    <row r="17" spans="1:10" s="99" customFormat="1" ht="15" customHeight="1" x14ac:dyDescent="0.2">
      <c r="A17" s="1169"/>
      <c r="B17" s="1170" t="s">
        <v>234</v>
      </c>
      <c r="C17" s="1149" t="s">
        <v>1480</v>
      </c>
      <c r="D17" s="1171"/>
      <c r="E17" s="1171"/>
      <c r="F17" s="1171">
        <v>0</v>
      </c>
      <c r="G17" s="117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10" s="96" customFormat="1" ht="29.25" thickBot="1" x14ac:dyDescent="0.25">
      <c r="A19" s="1139" t="s">
        <v>3</v>
      </c>
      <c r="B19" s="94"/>
      <c r="C19" s="1142" t="s">
        <v>1482</v>
      </c>
      <c r="D19" s="141">
        <f>SUM(D20:D25)</f>
        <v>23819</v>
      </c>
      <c r="E19" s="141">
        <f t="shared" ref="E19:F19" si="1">SUM(E20:E25)</f>
        <v>24503</v>
      </c>
      <c r="F19" s="141">
        <f t="shared" si="1"/>
        <v>0</v>
      </c>
      <c r="G19" s="141">
        <f>F19/E19*100</f>
        <v>0</v>
      </c>
    </row>
    <row r="20" spans="1:10" s="99" customFormat="1" ht="30" x14ac:dyDescent="0.2">
      <c r="A20" s="97"/>
      <c r="B20" s="98" t="s">
        <v>4</v>
      </c>
      <c r="C20" s="1151" t="s">
        <v>1483</v>
      </c>
      <c r="D20" s="142">
        <v>23819</v>
      </c>
      <c r="E20" s="142">
        <v>24503</v>
      </c>
      <c r="F20" s="142">
        <v>0</v>
      </c>
      <c r="G20" s="142">
        <f>F20/E20*100</f>
        <v>0</v>
      </c>
      <c r="I20" s="110"/>
      <c r="J20" s="110"/>
    </row>
    <row r="21" spans="1:10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0</v>
      </c>
      <c r="F21" s="142">
        <v>0</v>
      </c>
      <c r="G21" s="142"/>
      <c r="I21" s="110"/>
      <c r="J21" s="110"/>
    </row>
    <row r="22" spans="1:10" s="99" customFormat="1" ht="15" customHeight="1" x14ac:dyDescent="0.2">
      <c r="A22" s="1173"/>
      <c r="B22" s="1148" t="s">
        <v>255</v>
      </c>
      <c r="C22" s="1152" t="s">
        <v>1484</v>
      </c>
      <c r="D22" s="1174"/>
      <c r="E22" s="1174"/>
      <c r="F22" s="1174">
        <v>0</v>
      </c>
      <c r="G22" s="1174"/>
      <c r="I22" s="110"/>
      <c r="J22" s="110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  <c r="I23" s="110"/>
      <c r="J23" s="110"/>
    </row>
    <row r="24" spans="1:10" s="99" customFormat="1" ht="15" customHeight="1" x14ac:dyDescent="0.2">
      <c r="A24" s="1173"/>
      <c r="B24" s="1148" t="s">
        <v>6</v>
      </c>
      <c r="C24" s="1144" t="s">
        <v>1485</v>
      </c>
      <c r="D24" s="1174"/>
      <c r="E24" s="1174"/>
      <c r="F24" s="1174">
        <v>0</v>
      </c>
      <c r="G24" s="1174"/>
      <c r="I24" s="110"/>
      <c r="J24" s="110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  <c r="I25" s="110"/>
      <c r="J25" s="110"/>
    </row>
    <row r="26" spans="1:10" s="99" customFormat="1" ht="15" customHeight="1" thickBot="1" x14ac:dyDescent="0.25">
      <c r="A26" s="1139" t="s">
        <v>12</v>
      </c>
      <c r="B26" s="2"/>
      <c r="C26" s="1142" t="s">
        <v>1487</v>
      </c>
      <c r="D26" s="143"/>
      <c r="E26" s="143"/>
      <c r="F26" s="119">
        <v>0</v>
      </c>
      <c r="G26" s="143"/>
      <c r="I26" s="110"/>
      <c r="J26" s="110"/>
    </row>
    <row r="27" spans="1:10" s="99" customFormat="1" ht="15" customHeight="1" thickBot="1" x14ac:dyDescent="0.25">
      <c r="A27" s="1139"/>
      <c r="B27" s="1148" t="s">
        <v>13</v>
      </c>
      <c r="C27" s="1144" t="s">
        <v>1488</v>
      </c>
      <c r="D27" s="143"/>
      <c r="E27" s="143"/>
      <c r="F27" s="143">
        <v>0</v>
      </c>
      <c r="G27" s="143"/>
      <c r="I27" s="110"/>
      <c r="J27" s="110"/>
    </row>
    <row r="28" spans="1:10" s="99" customFormat="1" ht="15" customHeight="1" thickBot="1" x14ac:dyDescent="0.25">
      <c r="A28" s="1139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  <c r="I28" s="110"/>
      <c r="J28" s="110"/>
    </row>
    <row r="29" spans="1:10" s="99" customFormat="1" ht="15" customHeight="1" thickBot="1" x14ac:dyDescent="0.25">
      <c r="A29" s="1140"/>
      <c r="B29" s="1160" t="s">
        <v>133</v>
      </c>
      <c r="C29" s="1144" t="s">
        <v>1489</v>
      </c>
      <c r="D29" s="1178"/>
      <c r="E29" s="1178"/>
      <c r="F29" s="142">
        <v>0</v>
      </c>
      <c r="G29" s="1178"/>
      <c r="I29" s="110"/>
      <c r="J29" s="110"/>
    </row>
    <row r="30" spans="1:10" s="99" customFormat="1" ht="15" customHeight="1" thickBot="1" x14ac:dyDescent="0.25">
      <c r="A30" s="100"/>
      <c r="B30" s="1160" t="s">
        <v>983</v>
      </c>
      <c r="C30" s="1144" t="s">
        <v>1490</v>
      </c>
      <c r="D30" s="1178"/>
      <c r="E30" s="1178"/>
      <c r="F30" s="1174">
        <v>0</v>
      </c>
      <c r="G30" s="1178"/>
      <c r="I30" s="110"/>
      <c r="J30" s="110"/>
    </row>
    <row r="31" spans="1:10" s="99" customFormat="1" ht="15" customHeight="1" thickBot="1" x14ac:dyDescent="0.25">
      <c r="A31" s="1141"/>
      <c r="B31" s="1160" t="s">
        <v>149</v>
      </c>
      <c r="C31" s="1144" t="s">
        <v>1491</v>
      </c>
      <c r="D31" s="1178"/>
      <c r="E31" s="1178"/>
      <c r="F31" s="142">
        <v>0</v>
      </c>
      <c r="G31" s="1178"/>
      <c r="I31" s="110"/>
      <c r="J31" s="110"/>
    </row>
    <row r="32" spans="1:10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  <c r="I32" s="404"/>
      <c r="J32" s="404"/>
    </row>
    <row r="33" spans="1:11" s="96" customFormat="1" ht="15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97</v>
      </c>
      <c r="F33" s="148">
        <f t="shared" si="2"/>
        <v>0</v>
      </c>
      <c r="G33" s="148"/>
      <c r="I33" s="404"/>
      <c r="J33" s="404"/>
    </row>
    <row r="34" spans="1:11" s="96" customFormat="1" ht="15" hidden="1" customHeight="1" thickBot="1" x14ac:dyDescent="0.25">
      <c r="A34" s="1133"/>
      <c r="B34" s="108" t="s">
        <v>28</v>
      </c>
      <c r="C34" s="4" t="s">
        <v>507</v>
      </c>
      <c r="D34" s="149">
        <v>0</v>
      </c>
      <c r="E34" s="149">
        <v>97</v>
      </c>
      <c r="F34" s="149"/>
      <c r="G34" s="149"/>
      <c r="I34" s="404"/>
      <c r="J34" s="404"/>
    </row>
    <row r="35" spans="1:11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  <c r="I35" s="404"/>
      <c r="J35" s="404"/>
    </row>
    <row r="36" spans="1:11" s="96" customFormat="1" ht="29.25" thickBot="1" x14ac:dyDescent="0.25">
      <c r="A36" s="1139" t="s">
        <v>27</v>
      </c>
      <c r="B36" s="1161"/>
      <c r="C36" s="1156" t="s">
        <v>1506</v>
      </c>
      <c r="D36" s="1185"/>
      <c r="E36" s="1185"/>
      <c r="F36" s="119">
        <v>0</v>
      </c>
      <c r="G36" s="1185"/>
      <c r="I36" s="404"/>
      <c r="J36" s="404"/>
    </row>
    <row r="37" spans="1:11" s="96" customFormat="1" ht="30.75" thickBot="1" x14ac:dyDescent="0.25">
      <c r="A37" s="100"/>
      <c r="B37" s="1162" t="s">
        <v>28</v>
      </c>
      <c r="C37" s="1151" t="s">
        <v>1492</v>
      </c>
      <c r="D37" s="1185"/>
      <c r="E37" s="1185"/>
      <c r="F37" s="142">
        <v>0</v>
      </c>
      <c r="G37" s="1185"/>
      <c r="I37" s="404"/>
      <c r="J37" s="404"/>
    </row>
    <row r="38" spans="1:11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  <c r="I38" s="404"/>
      <c r="J38" s="404"/>
    </row>
    <row r="39" spans="1:11" s="96" customFormat="1" ht="30.75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  <c r="I39" s="404"/>
      <c r="J39" s="404"/>
    </row>
    <row r="40" spans="1:11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2">
        <f>SUM(F41:F43)</f>
        <v>0</v>
      </c>
      <c r="G40" s="1185"/>
      <c r="I40" s="404"/>
      <c r="J40" s="404"/>
    </row>
    <row r="41" spans="1:11" s="96" customFormat="1" ht="15" customHeight="1" thickBot="1" x14ac:dyDescent="0.25">
      <c r="A41" s="1140"/>
      <c r="B41" s="1160" t="s">
        <v>36</v>
      </c>
      <c r="C41" s="1144" t="s">
        <v>1496</v>
      </c>
      <c r="D41" s="1185"/>
      <c r="E41" s="1185"/>
      <c r="F41" s="142">
        <v>0</v>
      </c>
      <c r="G41" s="1185"/>
      <c r="I41" s="404"/>
      <c r="J41" s="404"/>
    </row>
    <row r="42" spans="1:11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174">
        <v>0</v>
      </c>
      <c r="G42" s="1185"/>
      <c r="I42" s="404"/>
      <c r="J42" s="404"/>
    </row>
    <row r="43" spans="1:11" s="99" customFormat="1" ht="15" customHeight="1" thickBot="1" x14ac:dyDescent="0.25">
      <c r="A43" s="1141"/>
      <c r="B43" s="1160" t="s">
        <v>1499</v>
      </c>
      <c r="C43" s="1144" t="s">
        <v>1498</v>
      </c>
      <c r="D43" s="119">
        <v>26907</v>
      </c>
      <c r="E43" s="119">
        <v>27958</v>
      </c>
      <c r="F43" s="142">
        <v>0</v>
      </c>
      <c r="G43" s="119">
        <f>F43/E43*100</f>
        <v>0</v>
      </c>
      <c r="I43" s="110"/>
      <c r="J43" s="110"/>
      <c r="K43" s="110">
        <f>SUM(F61-F45)</f>
        <v>0</v>
      </c>
    </row>
    <row r="44" spans="1:11" s="99" customFormat="1" ht="15" hidden="1" customHeight="1" thickBot="1" x14ac:dyDescent="0.3">
      <c r="A44" s="116"/>
      <c r="B44" s="117"/>
      <c r="C44" s="2" t="s">
        <v>542</v>
      </c>
      <c r="D44" s="119"/>
      <c r="E44" s="119"/>
      <c r="F44" s="119"/>
      <c r="G44" s="119"/>
    </row>
    <row r="45" spans="1:11" s="99" customFormat="1" ht="15" customHeight="1" thickBot="1" x14ac:dyDescent="0.25">
      <c r="A45" s="150" t="s">
        <v>38</v>
      </c>
      <c r="B45" s="151"/>
      <c r="C45" s="354" t="s">
        <v>510</v>
      </c>
      <c r="D45" s="152">
        <f>SUM(D8,D19,D28,D32,D33,D43)</f>
        <v>57643</v>
      </c>
      <c r="E45" s="152">
        <f>SUM(E8,E19,E28,E32,E33,E43)</f>
        <v>59475</v>
      </c>
      <c r="F45" s="152">
        <f>SUM(F8,F19,F28,F32,F33,F36,F38,F40)</f>
        <v>0</v>
      </c>
      <c r="G45" s="152">
        <f>F45/E45*100</f>
        <v>0</v>
      </c>
      <c r="I45" s="110"/>
      <c r="J45" s="110"/>
    </row>
    <row r="46" spans="1:11" s="99" customFormat="1" ht="15" customHeight="1" thickBot="1" x14ac:dyDescent="0.25">
      <c r="A46" s="336"/>
      <c r="B46" s="336"/>
      <c r="C46" s="355"/>
      <c r="D46" s="388"/>
      <c r="E46" s="388"/>
      <c r="F46" s="388"/>
      <c r="G46" s="388"/>
    </row>
    <row r="47" spans="1:11" s="411" customFormat="1" ht="15" customHeight="1" thickBot="1" x14ac:dyDescent="0.25">
      <c r="A47" s="150"/>
      <c r="B47" s="151"/>
      <c r="C47" s="387" t="s">
        <v>82</v>
      </c>
      <c r="D47" s="152"/>
      <c r="E47" s="152"/>
      <c r="F47" s="152"/>
      <c r="G47" s="152"/>
    </row>
    <row r="48" spans="1:11" s="96" customFormat="1" ht="15" customHeight="1" thickBot="1" x14ac:dyDescent="0.25">
      <c r="A48" s="1132" t="s">
        <v>2</v>
      </c>
      <c r="B48" s="2"/>
      <c r="C48" s="1156" t="s">
        <v>49</v>
      </c>
      <c r="D48" s="141">
        <f>SUM(D49:D53)</f>
        <v>57643</v>
      </c>
      <c r="E48" s="141">
        <f t="shared" ref="E48:F48" si="3">SUM(E49:E53)</f>
        <v>59475</v>
      </c>
      <c r="F48" s="141">
        <f t="shared" si="3"/>
        <v>0</v>
      </c>
      <c r="G48" s="141">
        <f>F48/E48*100</f>
        <v>0</v>
      </c>
    </row>
    <row r="49" spans="1:7" s="99" customFormat="1" ht="15" customHeight="1" x14ac:dyDescent="0.2">
      <c r="A49" s="113"/>
      <c r="B49" s="1165" t="s">
        <v>50</v>
      </c>
      <c r="C49" s="7" t="s">
        <v>51</v>
      </c>
      <c r="D49" s="147">
        <v>32955</v>
      </c>
      <c r="E49" s="147">
        <v>34286</v>
      </c>
      <c r="F49" s="147">
        <v>0</v>
      </c>
      <c r="G49" s="147">
        <f>F49/E49*100</f>
        <v>0</v>
      </c>
    </row>
    <row r="50" spans="1:7" s="99" customFormat="1" ht="15" customHeight="1" x14ac:dyDescent="0.2">
      <c r="A50" s="97"/>
      <c r="B50" s="1166" t="s">
        <v>52</v>
      </c>
      <c r="C50" s="3" t="s">
        <v>53</v>
      </c>
      <c r="D50" s="142">
        <v>8632</v>
      </c>
      <c r="E50" s="142">
        <v>8991</v>
      </c>
      <c r="F50" s="142">
        <v>0</v>
      </c>
      <c r="G50" s="142">
        <f>F50/E50*100</f>
        <v>0</v>
      </c>
    </row>
    <row r="51" spans="1:7" s="99" customFormat="1" ht="15" customHeight="1" x14ac:dyDescent="0.2">
      <c r="A51" s="97"/>
      <c r="B51" s="1166" t="s">
        <v>54</v>
      </c>
      <c r="C51" s="3" t="s">
        <v>55</v>
      </c>
      <c r="D51" s="142">
        <v>16056</v>
      </c>
      <c r="E51" s="142">
        <v>16198</v>
      </c>
      <c r="F51" s="142">
        <v>0</v>
      </c>
      <c r="G51" s="142">
        <f>F51/E51*100</f>
        <v>0</v>
      </c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139" t="s">
        <v>3</v>
      </c>
      <c r="B54" s="2"/>
      <c r="C54" s="1156" t="s">
        <v>1513</v>
      </c>
      <c r="D54" s="141">
        <f>SUM(D55:D58)</f>
        <v>0</v>
      </c>
      <c r="E54" s="141">
        <f t="shared" ref="E54:F54" si="4">SUM(E55:E58)</f>
        <v>0</v>
      </c>
      <c r="F54" s="141">
        <f t="shared" si="4"/>
        <v>0</v>
      </c>
      <c r="G54" s="141"/>
    </row>
    <row r="55" spans="1:7" s="96" customFormat="1" ht="15" customHeight="1" x14ac:dyDescent="0.2">
      <c r="A55" s="113"/>
      <c r="B55" s="1165" t="s">
        <v>4</v>
      </c>
      <c r="C55" s="1151" t="s">
        <v>1173</v>
      </c>
      <c r="D55" s="147">
        <v>0</v>
      </c>
      <c r="E55" s="147">
        <v>0</v>
      </c>
      <c r="F55" s="147">
        <v>0</v>
      </c>
      <c r="G55" s="147"/>
    </row>
    <row r="56" spans="1:7" s="99" customFormat="1" ht="15" customHeight="1" x14ac:dyDescent="0.2">
      <c r="A56" s="97"/>
      <c r="B56" s="1166" t="s">
        <v>6</v>
      </c>
      <c r="C56" s="1144" t="s">
        <v>64</v>
      </c>
      <c r="D56" s="142">
        <v>0</v>
      </c>
      <c r="E56" s="142">
        <v>0</v>
      </c>
      <c r="F56" s="142">
        <v>0</v>
      </c>
      <c r="G56" s="142"/>
    </row>
    <row r="57" spans="1:7" s="99" customFormat="1" ht="15.75" thickBot="1" x14ac:dyDescent="0.25">
      <c r="A57" s="97"/>
      <c r="B57" s="1166" t="s">
        <v>7</v>
      </c>
      <c r="C57" s="1144" t="s">
        <v>1500</v>
      </c>
      <c r="D57" s="142">
        <v>0</v>
      </c>
      <c r="E57" s="142">
        <v>0</v>
      </c>
      <c r="F57" s="142">
        <v>0</v>
      </c>
      <c r="G57" s="142"/>
    </row>
    <row r="58" spans="1:7" s="99" customFormat="1" ht="15" hidden="1" customHeight="1" thickBot="1" x14ac:dyDescent="0.25">
      <c r="A58" s="97"/>
      <c r="B58" s="109" t="s">
        <v>11</v>
      </c>
      <c r="C58" s="3" t="s">
        <v>513</v>
      </c>
      <c r="D58" s="142">
        <v>0</v>
      </c>
      <c r="E58" s="142">
        <v>0</v>
      </c>
      <c r="F58" s="142">
        <v>0</v>
      </c>
      <c r="G58" s="142"/>
    </row>
    <row r="59" spans="1:7" s="99" customFormat="1" ht="15" hidden="1" customHeight="1" thickBot="1" x14ac:dyDescent="0.25">
      <c r="A59" s="1132" t="s">
        <v>12</v>
      </c>
      <c r="B59" s="2"/>
      <c r="C59" s="10" t="s">
        <v>514</v>
      </c>
      <c r="D59" s="119">
        <v>0</v>
      </c>
      <c r="E59" s="119">
        <v>0</v>
      </c>
      <c r="F59" s="119">
        <v>0</v>
      </c>
      <c r="G59" s="119"/>
    </row>
    <row r="60" spans="1:7" s="99" customFormat="1" ht="15" hidden="1" customHeight="1" thickBot="1" x14ac:dyDescent="0.25">
      <c r="A60" s="1132"/>
      <c r="B60" s="2"/>
      <c r="C60" s="10" t="s">
        <v>515</v>
      </c>
      <c r="D60" s="119"/>
      <c r="E60" s="119"/>
      <c r="F60" s="119"/>
      <c r="G60" s="119"/>
    </row>
    <row r="61" spans="1:7" s="99" customFormat="1" ht="15" customHeight="1" thickBot="1" x14ac:dyDescent="0.25">
      <c r="A61" s="150" t="s">
        <v>12</v>
      </c>
      <c r="B61" s="151"/>
      <c r="C61" s="354" t="s">
        <v>1501</v>
      </c>
      <c r="D61" s="152">
        <f>+D48+D54+D59</f>
        <v>57643</v>
      </c>
      <c r="E61" s="152">
        <f t="shared" ref="E61" si="5">+E48+E54+E59</f>
        <v>59475</v>
      </c>
      <c r="F61" s="152">
        <f>+F48+F54+F59+F60</f>
        <v>0</v>
      </c>
      <c r="G61" s="152">
        <f>F61/E61*100</f>
        <v>0</v>
      </c>
    </row>
    <row r="62" spans="1:7" s="99" customFormat="1" ht="15" customHeight="1" thickBot="1" x14ac:dyDescent="0.25">
      <c r="A62" s="131"/>
      <c r="B62" s="132"/>
      <c r="C62" s="132"/>
      <c r="D62" s="132"/>
      <c r="E62" s="132"/>
      <c r="F62" s="132"/>
      <c r="G62" s="132"/>
    </row>
    <row r="63" spans="1:7" s="99" customFormat="1" ht="15" customHeight="1" thickBot="1" x14ac:dyDescent="0.25">
      <c r="A63" s="133" t="s">
        <v>136</v>
      </c>
      <c r="B63" s="134"/>
      <c r="C63" s="135"/>
      <c r="D63" s="136">
        <v>21</v>
      </c>
      <c r="E63" s="136">
        <v>21</v>
      </c>
      <c r="F63" s="136"/>
      <c r="G63" s="136"/>
    </row>
    <row r="64" spans="1:7" s="99" customFormat="1" ht="15" customHeight="1" thickBot="1" x14ac:dyDescent="0.25">
      <c r="A64" s="133" t="s">
        <v>137</v>
      </c>
      <c r="B64" s="134"/>
      <c r="C64" s="135"/>
      <c r="D64" s="356"/>
      <c r="E64" s="356"/>
      <c r="F64" s="356"/>
      <c r="G64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3622047244094491" right="0.27559055118110237" top="0.39370078740157483" bottom="0.35433070866141736" header="0.19685039370078741" footer="0.15748031496062992"/>
  <pageSetup paperSize="9" scale="70" firstPageNumber="77" orientation="portrait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69"/>
  <sheetViews>
    <sheetView view="pageBreakPreview" zoomScaleNormal="13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0.33203125" style="76" hidden="1" customWidth="1"/>
    <col min="5" max="5" width="13.5" style="76" hidden="1" customWidth="1"/>
    <col min="6" max="6" width="17.6640625" style="76" customWidth="1"/>
    <col min="7" max="7" width="10.33203125" style="76" hidden="1" customWidth="1"/>
    <col min="8" max="8" width="10.33203125" style="76" customWidth="1"/>
    <col min="9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1123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1382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x14ac:dyDescent="0.2">
      <c r="A3" s="1554" t="s">
        <v>122</v>
      </c>
      <c r="B3" s="1554"/>
      <c r="C3" s="80" t="s">
        <v>567</v>
      </c>
      <c r="D3" s="1524"/>
      <c r="E3" s="327"/>
      <c r="F3" s="1524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.7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93" t="s">
        <v>2</v>
      </c>
      <c r="B8" s="94"/>
      <c r="C8" s="1142" t="s">
        <v>1774</v>
      </c>
      <c r="D8" s="141">
        <f>SUM(D9:D18)</f>
        <v>10033</v>
      </c>
      <c r="E8" s="141">
        <f t="shared" ref="E8" si="0">SUM(E9:E18)</f>
        <v>10050</v>
      </c>
      <c r="F8" s="141">
        <f>SUM(F9:F18)</f>
        <v>20000</v>
      </c>
      <c r="G8" s="141">
        <f>F8/E8*100</f>
        <v>199.00497512437812</v>
      </c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5900</v>
      </c>
      <c r="E10" s="142">
        <v>5900</v>
      </c>
      <c r="F10" s="142">
        <v>10634</v>
      </c>
      <c r="G10" s="142">
        <f>F10/E10*100</f>
        <v>180.23728813559322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2000</v>
      </c>
      <c r="E11" s="142">
        <v>2000</v>
      </c>
      <c r="F11" s="142">
        <v>1229</v>
      </c>
      <c r="G11" s="142">
        <f>F11/E11*100</f>
        <v>61.45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3885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2133</v>
      </c>
      <c r="E14" s="143">
        <v>2133</v>
      </c>
      <c r="F14" s="142">
        <v>4252</v>
      </c>
      <c r="G14" s="143">
        <f>F14/E14*100</f>
        <v>199.34364744491327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>
        <v>17</v>
      </c>
      <c r="F16" s="142">
        <v>0</v>
      </c>
      <c r="G16" s="142"/>
    </row>
    <row r="17" spans="1:7" s="99" customFormat="1" ht="15" customHeight="1" x14ac:dyDescent="0.2">
      <c r="A17" s="1202"/>
      <c r="B17" s="1170" t="s">
        <v>234</v>
      </c>
      <c r="C17" s="1149" t="s">
        <v>1480</v>
      </c>
      <c r="D17" s="1203"/>
      <c r="E17" s="1203"/>
      <c r="F17" s="1203">
        <v>0</v>
      </c>
      <c r="G17" s="1203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1194" t="s">
        <v>3</v>
      </c>
      <c r="B19" s="94"/>
      <c r="C19" s="1142" t="s">
        <v>1482</v>
      </c>
      <c r="D19" s="141">
        <f>SUM(D20:D26)</f>
        <v>11613</v>
      </c>
      <c r="E19" s="141">
        <f t="shared" ref="E19" si="1">SUM(E20:E26)</f>
        <v>14841</v>
      </c>
      <c r="F19" s="141">
        <f>SUM(F20:F25)</f>
        <v>0</v>
      </c>
      <c r="G19" s="141">
        <f>F19/E19*100</f>
        <v>0</v>
      </c>
    </row>
    <row r="20" spans="1:7" s="99" customFormat="1" ht="31.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12298</v>
      </c>
      <c r="F20" s="142"/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453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205"/>
      <c r="E22" s="1205"/>
      <c r="F22" s="1205">
        <v>0</v>
      </c>
      <c r="G22" s="1205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2090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205"/>
      <c r="E24" s="1205"/>
      <c r="F24" s="1205">
        <v>0</v>
      </c>
      <c r="G24" s="1205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205"/>
      <c r="E25" s="1205"/>
      <c r="F25" s="1205">
        <v>0</v>
      </c>
      <c r="G25" s="1205"/>
    </row>
    <row r="26" spans="1:7" s="99" customFormat="1" ht="15" customHeight="1" thickBot="1" x14ac:dyDescent="0.25">
      <c r="A26" s="1194" t="s">
        <v>12</v>
      </c>
      <c r="B26" s="2"/>
      <c r="C26" s="1142" t="s">
        <v>1487</v>
      </c>
      <c r="D26" s="142">
        <v>0</v>
      </c>
      <c r="E26" s="142">
        <v>0</v>
      </c>
      <c r="F26" s="141">
        <f>SUM(F27)</f>
        <v>0</v>
      </c>
      <c r="G26" s="142"/>
    </row>
    <row r="27" spans="1:7" s="99" customFormat="1" ht="15" customHeight="1" thickBot="1" x14ac:dyDescent="0.25">
      <c r="A27" s="1194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94" t="s">
        <v>68</v>
      </c>
      <c r="B28" s="94"/>
      <c r="C28" s="1156" t="s">
        <v>1505</v>
      </c>
      <c r="D28" s="119">
        <v>0</v>
      </c>
      <c r="E28" s="119">
        <v>0</v>
      </c>
      <c r="F28" s="119">
        <f>SUM(F29:F31)</f>
        <v>0</v>
      </c>
      <c r="G28" s="119"/>
    </row>
    <row r="29" spans="1:7" s="99" customFormat="1" ht="15" customHeight="1" thickBot="1" x14ac:dyDescent="0.25">
      <c r="A29" s="1195"/>
      <c r="B29" s="1160" t="s">
        <v>133</v>
      </c>
      <c r="C29" s="1144" t="s">
        <v>1489</v>
      </c>
      <c r="D29" s="1206"/>
      <c r="E29" s="1206"/>
      <c r="F29" s="142">
        <v>0</v>
      </c>
      <c r="G29" s="1206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06"/>
      <c r="E30" s="1206"/>
      <c r="F30" s="1205">
        <v>0</v>
      </c>
      <c r="G30" s="1206"/>
    </row>
    <row r="31" spans="1:7" s="99" customFormat="1" ht="15" customHeight="1" thickBot="1" x14ac:dyDescent="0.25">
      <c r="A31" s="1196"/>
      <c r="B31" s="1160" t="s">
        <v>149</v>
      </c>
      <c r="C31" s="1144" t="s">
        <v>1491</v>
      </c>
      <c r="D31" s="1206"/>
      <c r="E31" s="1206"/>
      <c r="F31" s="1205">
        <v>0</v>
      </c>
      <c r="G31" s="1206"/>
    </row>
    <row r="32" spans="1:7" s="96" customFormat="1" ht="15" hidden="1" customHeight="1" x14ac:dyDescent="0.2">
      <c r="A32" s="93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15" hidden="1" customHeight="1" thickBot="1" x14ac:dyDescent="0.25">
      <c r="A33" s="93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236</v>
      </c>
      <c r="F33" s="148">
        <f t="shared" si="2"/>
        <v>0</v>
      </c>
      <c r="G33" s="148"/>
    </row>
    <row r="34" spans="1:10" s="96" customFormat="1" ht="15" hidden="1" customHeight="1" x14ac:dyDescent="0.2">
      <c r="A34" s="102"/>
      <c r="B34" s="108" t="s">
        <v>28</v>
      </c>
      <c r="C34" s="4" t="s">
        <v>507</v>
      </c>
      <c r="D34" s="149">
        <v>0</v>
      </c>
      <c r="E34" s="149">
        <v>236</v>
      </c>
      <c r="F34" s="149"/>
      <c r="G34" s="149"/>
    </row>
    <row r="35" spans="1:10" s="96" customFormat="1" ht="15" hidden="1" customHeight="1" x14ac:dyDescent="0.2">
      <c r="A35" s="111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29.25" customHeight="1" thickBot="1" x14ac:dyDescent="0.25">
      <c r="A36" s="1194" t="s">
        <v>27</v>
      </c>
      <c r="B36" s="1161"/>
      <c r="C36" s="1156" t="s">
        <v>1506</v>
      </c>
      <c r="D36" s="1185"/>
      <c r="E36" s="1185"/>
      <c r="F36" s="119">
        <f>SUM(F37:F37)</f>
        <v>0</v>
      </c>
      <c r="G36" s="1185"/>
    </row>
    <row r="37" spans="1:10" s="96" customFormat="1" ht="30" customHeight="1" thickBot="1" x14ac:dyDescent="0.25">
      <c r="A37" s="100"/>
      <c r="B37" s="1162" t="s">
        <v>28</v>
      </c>
      <c r="C37" s="1151" t="s">
        <v>1492</v>
      </c>
      <c r="D37" s="1185"/>
      <c r="E37" s="1185"/>
      <c r="F37" s="1205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f>SUM(F39)</f>
        <v>0</v>
      </c>
      <c r="G38" s="1185"/>
    </row>
    <row r="39" spans="1:10" s="96" customFormat="1" ht="15" customHeight="1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2">
        <f>SUM(F41:F43)</f>
        <v>110000</v>
      </c>
      <c r="G40" s="1185"/>
    </row>
    <row r="41" spans="1:10" s="96" customFormat="1" ht="15" customHeight="1" thickBot="1" x14ac:dyDescent="0.25">
      <c r="A41" s="1195"/>
      <c r="B41" s="1160" t="s">
        <v>36</v>
      </c>
      <c r="C41" s="1144" t="s">
        <v>1496</v>
      </c>
      <c r="D41" s="1185"/>
      <c r="E41" s="1185"/>
      <c r="F41" s="14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205">
        <v>0</v>
      </c>
      <c r="G42" s="1185"/>
    </row>
    <row r="43" spans="1:10" s="99" customFormat="1" ht="15" customHeight="1" thickBot="1" x14ac:dyDescent="0.25">
      <c r="A43" s="1196"/>
      <c r="B43" s="1160" t="s">
        <v>1499</v>
      </c>
      <c r="C43" s="1144" t="s">
        <v>1498</v>
      </c>
      <c r="D43" s="119">
        <v>75958</v>
      </c>
      <c r="E43" s="119">
        <v>101096</v>
      </c>
      <c r="F43" s="1205">
        <f>SUM(F44:F45)</f>
        <v>110000</v>
      </c>
      <c r="G43" s="119">
        <f>F43/E43*100</f>
        <v>108.80747012740366</v>
      </c>
      <c r="I43" s="110"/>
      <c r="J43" s="110">
        <f>SUM(F66-F47)</f>
        <v>0</v>
      </c>
    </row>
    <row r="44" spans="1:10" s="99" customFormat="1" ht="15" customHeight="1" thickBot="1" x14ac:dyDescent="0.25">
      <c r="A44" s="1408"/>
      <c r="B44" s="1409" t="s">
        <v>1777</v>
      </c>
      <c r="C44" s="1410" t="s">
        <v>1775</v>
      </c>
      <c r="D44" s="1224"/>
      <c r="E44" s="1224"/>
      <c r="F44" s="1412">
        <v>11628</v>
      </c>
      <c r="G44" s="1224"/>
      <c r="I44" s="110"/>
      <c r="J44" s="110"/>
    </row>
    <row r="45" spans="1:10" s="99" customFormat="1" ht="15" customHeight="1" thickBot="1" x14ac:dyDescent="0.25">
      <c r="A45" s="1408"/>
      <c r="B45" s="1409" t="s">
        <v>1778</v>
      </c>
      <c r="C45" s="1410" t="s">
        <v>1776</v>
      </c>
      <c r="D45" s="1224"/>
      <c r="E45" s="1224"/>
      <c r="F45" s="1412">
        <v>98372</v>
      </c>
      <c r="G45" s="1224"/>
      <c r="I45" s="110"/>
      <c r="J45" s="110"/>
    </row>
    <row r="46" spans="1:10" s="99" customFormat="1" ht="15" hidden="1" customHeight="1" thickBot="1" x14ac:dyDescent="0.3">
      <c r="A46" s="116"/>
      <c r="B46" s="117"/>
      <c r="C46" s="2" t="s">
        <v>542</v>
      </c>
      <c r="D46" s="119"/>
      <c r="E46" s="119"/>
      <c r="F46" s="119"/>
      <c r="G46" s="119"/>
    </row>
    <row r="47" spans="1:10" s="99" customFormat="1" ht="15" customHeight="1" thickBot="1" x14ac:dyDescent="0.25">
      <c r="A47" s="150" t="s">
        <v>38</v>
      </c>
      <c r="B47" s="151"/>
      <c r="C47" s="354" t="s">
        <v>510</v>
      </c>
      <c r="D47" s="152">
        <f>SUM(D8,D19,D28,D32,D33,D43)</f>
        <v>97604</v>
      </c>
      <c r="E47" s="152">
        <f>SUM(E8,E19,E28,E32,E33,E43)</f>
        <v>126223</v>
      </c>
      <c r="F47" s="152">
        <f>SUM(F8,F19,F28,F32,F33,F40)</f>
        <v>130000</v>
      </c>
      <c r="G47" s="152">
        <f>F47/E47*100</f>
        <v>102.99232311068505</v>
      </c>
      <c r="I47" s="110"/>
    </row>
    <row r="48" spans="1:10" s="99" customFormat="1" ht="15" customHeight="1" thickBot="1" x14ac:dyDescent="0.25">
      <c r="A48" s="336"/>
      <c r="B48" s="336"/>
      <c r="C48" s="355"/>
      <c r="D48" s="388"/>
      <c r="E48" s="388"/>
      <c r="F48" s="388"/>
      <c r="G48" s="388"/>
    </row>
    <row r="49" spans="1:7" s="411" customFormat="1" ht="15" customHeight="1" x14ac:dyDescent="0.2">
      <c r="A49" s="150"/>
      <c r="B49" s="151"/>
      <c r="C49" s="387" t="s">
        <v>82</v>
      </c>
      <c r="D49" s="152"/>
      <c r="E49" s="152"/>
      <c r="F49" s="152"/>
      <c r="G49" s="152"/>
    </row>
    <row r="50" spans="1:7" s="96" customFormat="1" ht="15" customHeight="1" x14ac:dyDescent="0.2">
      <c r="A50" s="93" t="s">
        <v>2</v>
      </c>
      <c r="B50" s="2"/>
      <c r="C50" s="1156" t="s">
        <v>49</v>
      </c>
      <c r="D50" s="141">
        <f>SUM(D51:D55)</f>
        <v>97604</v>
      </c>
      <c r="E50" s="141">
        <f>SUM(E51:E56)</f>
        <v>124247</v>
      </c>
      <c r="F50" s="141">
        <f>SUM(F51:F56)</f>
        <v>129746</v>
      </c>
      <c r="G50" s="141">
        <f>F50/E50*100</f>
        <v>104.42586138900738</v>
      </c>
    </row>
    <row r="51" spans="1:7" s="99" customFormat="1" ht="15" customHeight="1" x14ac:dyDescent="0.2">
      <c r="A51" s="113"/>
      <c r="B51" s="1165" t="s">
        <v>50</v>
      </c>
      <c r="C51" s="7" t="s">
        <v>51</v>
      </c>
      <c r="D51" s="147">
        <v>28809</v>
      </c>
      <c r="E51" s="147">
        <v>29630</v>
      </c>
      <c r="F51" s="147">
        <v>31400</v>
      </c>
      <c r="G51" s="147">
        <f>F51/E51*100</f>
        <v>105.97367532905839</v>
      </c>
    </row>
    <row r="52" spans="1:7" s="99" customFormat="1" ht="15" customHeight="1" x14ac:dyDescent="0.2">
      <c r="A52" s="97"/>
      <c r="B52" s="1166" t="s">
        <v>52</v>
      </c>
      <c r="C52" s="3" t="s">
        <v>53</v>
      </c>
      <c r="D52" s="142">
        <v>7733</v>
      </c>
      <c r="E52" s="142">
        <v>8019</v>
      </c>
      <c r="F52" s="142">
        <v>8540</v>
      </c>
      <c r="G52" s="142">
        <f>F52/E52*100</f>
        <v>106.49706946003241</v>
      </c>
    </row>
    <row r="53" spans="1:7" s="99" customFormat="1" ht="15" customHeight="1" x14ac:dyDescent="0.2">
      <c r="A53" s="97"/>
      <c r="B53" s="1166" t="s">
        <v>54</v>
      </c>
      <c r="C53" s="3" t="s">
        <v>55</v>
      </c>
      <c r="D53" s="768">
        <v>61062</v>
      </c>
      <c r="E53" s="768">
        <v>85562</v>
      </c>
      <c r="F53" s="768">
        <v>89806</v>
      </c>
      <c r="G53" s="142">
        <f>F53/E53*100</f>
        <v>104.96014585914308</v>
      </c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hidden="1" customHeight="1" x14ac:dyDescent="0.2">
      <c r="A56" s="97"/>
      <c r="B56" s="109" t="s">
        <v>132</v>
      </c>
      <c r="C56" s="3" t="s">
        <v>72</v>
      </c>
      <c r="D56" s="142">
        <v>0</v>
      </c>
      <c r="E56" s="142">
        <v>1036</v>
      </c>
      <c r="F56" s="142">
        <v>0</v>
      </c>
      <c r="G56" s="142"/>
    </row>
    <row r="57" spans="1:7" s="99" customFormat="1" ht="15" customHeight="1" thickBot="1" x14ac:dyDescent="0.25">
      <c r="A57" s="1194" t="s">
        <v>3</v>
      </c>
      <c r="B57" s="2"/>
      <c r="C57" s="1156" t="s">
        <v>1513</v>
      </c>
      <c r="D57" s="141">
        <f>SUM(D58:D63)</f>
        <v>0</v>
      </c>
      <c r="E57" s="141">
        <f t="shared" ref="E57:F57" si="3">SUM(E58:E63)</f>
        <v>1976</v>
      </c>
      <c r="F57" s="141">
        <f t="shared" si="3"/>
        <v>254</v>
      </c>
      <c r="G57" s="141"/>
    </row>
    <row r="58" spans="1:7" s="96" customFormat="1" ht="15" customHeight="1" x14ac:dyDescent="0.2">
      <c r="A58" s="113"/>
      <c r="B58" s="1165" t="s">
        <v>4</v>
      </c>
      <c r="C58" s="1151" t="s">
        <v>1173</v>
      </c>
      <c r="D58" s="147">
        <v>0</v>
      </c>
      <c r="E58" s="147">
        <v>1976</v>
      </c>
      <c r="F58" s="147">
        <v>254</v>
      </c>
      <c r="G58" s="147"/>
    </row>
    <row r="59" spans="1:7" s="99" customFormat="1" ht="15" customHeight="1" x14ac:dyDescent="0.2">
      <c r="A59" s="97"/>
      <c r="B59" s="1166" t="s">
        <v>6</v>
      </c>
      <c r="C59" s="1144" t="s">
        <v>64</v>
      </c>
      <c r="D59" s="142">
        <v>0</v>
      </c>
      <c r="E59" s="142">
        <v>0</v>
      </c>
      <c r="F59" s="142">
        <v>0</v>
      </c>
      <c r="G59" s="142"/>
    </row>
    <row r="60" spans="1:7" s="99" customFormat="1" ht="15" customHeight="1" thickBot="1" x14ac:dyDescent="0.25">
      <c r="A60" s="97"/>
      <c r="B60" s="1166" t="s">
        <v>7</v>
      </c>
      <c r="C60" s="1144" t="s">
        <v>1500</v>
      </c>
      <c r="D60" s="1205"/>
      <c r="E60" s="1205"/>
      <c r="F60" s="1205">
        <v>0</v>
      </c>
      <c r="G60" s="1205"/>
    </row>
    <row r="61" spans="1:7" s="99" customFormat="1" ht="15" hidden="1" customHeight="1" x14ac:dyDescent="0.2">
      <c r="A61" s="1204"/>
      <c r="B61" s="1207"/>
      <c r="C61" s="1201"/>
      <c r="D61" s="1205"/>
      <c r="E61" s="1205"/>
      <c r="F61" s="1205"/>
      <c r="G61" s="1205"/>
    </row>
    <row r="62" spans="1:7" s="99" customFormat="1" ht="30" hidden="1" customHeight="1" x14ac:dyDescent="0.2">
      <c r="A62" s="97"/>
      <c r="B62" s="109" t="s">
        <v>9</v>
      </c>
      <c r="C62" s="3" t="s">
        <v>65</v>
      </c>
      <c r="D62" s="142">
        <v>0</v>
      </c>
      <c r="E62" s="142">
        <v>0</v>
      </c>
      <c r="F62" s="142">
        <v>0</v>
      </c>
      <c r="G62" s="142"/>
    </row>
    <row r="63" spans="1:7" s="99" customFormat="1" ht="15" hidden="1" customHeight="1" thickBot="1" x14ac:dyDescent="0.25">
      <c r="A63" s="97"/>
      <c r="B63" s="109" t="s">
        <v>11</v>
      </c>
      <c r="C63" s="3" t="s">
        <v>513</v>
      </c>
      <c r="D63" s="142">
        <v>0</v>
      </c>
      <c r="E63" s="142">
        <v>0</v>
      </c>
      <c r="F63" s="142">
        <v>0</v>
      </c>
      <c r="G63" s="142"/>
    </row>
    <row r="64" spans="1:7" s="99" customFormat="1" ht="15" hidden="1" customHeight="1" x14ac:dyDescent="0.2">
      <c r="A64" s="93" t="s">
        <v>12</v>
      </c>
      <c r="B64" s="2"/>
      <c r="C64" s="10" t="s">
        <v>514</v>
      </c>
      <c r="D64" s="119">
        <v>0</v>
      </c>
      <c r="E64" s="119">
        <v>0</v>
      </c>
      <c r="F64" s="119">
        <v>0</v>
      </c>
      <c r="G64" s="119"/>
    </row>
    <row r="65" spans="1:7" s="99" customFormat="1" ht="15" hidden="1" customHeight="1" x14ac:dyDescent="0.2">
      <c r="A65" s="93"/>
      <c r="B65" s="2"/>
      <c r="C65" s="10" t="s">
        <v>515</v>
      </c>
      <c r="D65" s="119"/>
      <c r="E65" s="119"/>
      <c r="F65" s="119"/>
      <c r="G65" s="119"/>
    </row>
    <row r="66" spans="1:7" s="99" customFormat="1" ht="15" customHeight="1" thickBot="1" x14ac:dyDescent="0.25">
      <c r="A66" s="150" t="s">
        <v>12</v>
      </c>
      <c r="B66" s="151"/>
      <c r="C66" s="354" t="s">
        <v>1501</v>
      </c>
      <c r="D66" s="152">
        <f>+D50+D57+D64</f>
        <v>97604</v>
      </c>
      <c r="E66" s="152">
        <f t="shared" ref="E66" si="4">+E50+E57+E64</f>
        <v>126223</v>
      </c>
      <c r="F66" s="152">
        <f>+F50+F57+F64+F65</f>
        <v>130000</v>
      </c>
      <c r="G66" s="152">
        <f>F66/E66*100</f>
        <v>102.99232311068505</v>
      </c>
    </row>
    <row r="67" spans="1:7" s="99" customFormat="1" ht="15" customHeight="1" thickBot="1" x14ac:dyDescent="0.25">
      <c r="A67" s="131"/>
      <c r="B67" s="132"/>
      <c r="C67" s="132"/>
      <c r="D67" s="132"/>
      <c r="E67" s="132"/>
      <c r="F67" s="132"/>
      <c r="G67" s="132"/>
    </row>
    <row r="68" spans="1:7" s="99" customFormat="1" ht="15" customHeight="1" x14ac:dyDescent="0.2">
      <c r="A68" s="133" t="s">
        <v>136</v>
      </c>
      <c r="B68" s="134"/>
      <c r="C68" s="135"/>
      <c r="D68" s="136">
        <v>14</v>
      </c>
      <c r="E68" s="136">
        <v>14</v>
      </c>
      <c r="F68" s="136">
        <v>14</v>
      </c>
      <c r="G68" s="136"/>
    </row>
    <row r="69" spans="1:7" s="99" customFormat="1" ht="15" customHeight="1" x14ac:dyDescent="0.2">
      <c r="A69" s="133" t="s">
        <v>137</v>
      </c>
      <c r="B69" s="134"/>
      <c r="C69" s="135"/>
      <c r="D69" s="356"/>
      <c r="E69" s="356"/>
      <c r="F69" s="356"/>
      <c r="G69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1496062992125984" right="0.27559055118110237" top="0.51181102362204722" bottom="0.35433070866141736" header="0.51181102362204722" footer="0.15748031496062992"/>
  <pageSetup paperSize="9" scale="72" firstPageNumber="78" orientation="portrait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68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0.33203125" style="76" hidden="1" customWidth="1"/>
    <col min="5" max="5" width="13.5" style="76" hidden="1" customWidth="1"/>
    <col min="6" max="6" width="17.6640625" style="76" customWidth="1"/>
    <col min="7" max="7" width="10.33203125" style="76" hidden="1" customWidth="1"/>
    <col min="8" max="8" width="10.3320312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1815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1382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1521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98" t="s">
        <v>2</v>
      </c>
      <c r="B8" s="94"/>
      <c r="C8" s="1142" t="s">
        <v>1774</v>
      </c>
      <c r="D8" s="141">
        <f>SUM(D9:D18)</f>
        <v>10033</v>
      </c>
      <c r="E8" s="141">
        <f t="shared" ref="E8:F8" si="0">SUM(E9:E18)</f>
        <v>10050</v>
      </c>
      <c r="F8" s="141">
        <f t="shared" si="0"/>
        <v>20000</v>
      </c>
      <c r="G8" s="141">
        <f>F8/E8*100</f>
        <v>199.00497512437812</v>
      </c>
    </row>
    <row r="9" spans="1:7" s="96" customFormat="1" ht="15" customHeight="1" x14ac:dyDescent="0.2">
      <c r="A9" s="1199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5900</v>
      </c>
      <c r="E10" s="142">
        <v>5900</v>
      </c>
      <c r="F10" s="142">
        <v>10634</v>
      </c>
      <c r="G10" s="142">
        <f>F10/E10*100</f>
        <v>180.23728813559322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2000</v>
      </c>
      <c r="E11" s="142">
        <v>2000</v>
      </c>
      <c r="F11" s="142">
        <v>1229</v>
      </c>
      <c r="G11" s="142">
        <f>F11/E11*100</f>
        <v>61.45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3885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2133</v>
      </c>
      <c r="E14" s="143">
        <v>2133</v>
      </c>
      <c r="F14" s="142">
        <v>4252</v>
      </c>
      <c r="G14" s="143">
        <f>F14/E14*100</f>
        <v>199.34364744491327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>
        <v>17</v>
      </c>
      <c r="F16" s="142">
        <v>0</v>
      </c>
      <c r="G16" s="142"/>
    </row>
    <row r="17" spans="1:7" s="99" customFormat="1" ht="15" customHeight="1" x14ac:dyDescent="0.2">
      <c r="A17" s="1202"/>
      <c r="B17" s="1170" t="s">
        <v>234</v>
      </c>
      <c r="C17" s="1149" t="s">
        <v>1480</v>
      </c>
      <c r="D17" s="1211"/>
      <c r="E17" s="1211"/>
      <c r="F17" s="1211">
        <v>0</v>
      </c>
      <c r="G17" s="121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.75" customHeight="1" thickBot="1" x14ac:dyDescent="0.25">
      <c r="A19" s="1198" t="s">
        <v>3</v>
      </c>
      <c r="B19" s="94"/>
      <c r="C19" s="1142" t="s">
        <v>1482</v>
      </c>
      <c r="D19" s="141">
        <f>SUM(D20:D26)</f>
        <v>11613</v>
      </c>
      <c r="E19" s="141">
        <f t="shared" ref="E19:F19" si="1">SUM(E20:E26)</f>
        <v>14841</v>
      </c>
      <c r="F19" s="141">
        <f t="shared" si="1"/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12298</v>
      </c>
      <c r="F20" s="142"/>
      <c r="G20" s="142">
        <f>F20/E20*100</f>
        <v>0</v>
      </c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453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212"/>
      <c r="E22" s="1212"/>
      <c r="F22" s="1212">
        <v>0</v>
      </c>
      <c r="G22" s="121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2090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212"/>
      <c r="E24" s="1212"/>
      <c r="F24" s="1212">
        <v>0</v>
      </c>
      <c r="G24" s="121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212"/>
      <c r="E25" s="1212"/>
      <c r="F25" s="1212">
        <v>0</v>
      </c>
      <c r="G25" s="1212"/>
    </row>
    <row r="26" spans="1:7" s="99" customFormat="1" ht="15" customHeight="1" thickBot="1" x14ac:dyDescent="0.25">
      <c r="A26" s="1198" t="s">
        <v>12</v>
      </c>
      <c r="B26" s="2"/>
      <c r="C26" s="1142" t="s">
        <v>1487</v>
      </c>
      <c r="D26" s="142">
        <v>0</v>
      </c>
      <c r="E26" s="142">
        <v>0</v>
      </c>
      <c r="F26" s="119">
        <v>0</v>
      </c>
      <c r="G26" s="142"/>
    </row>
    <row r="27" spans="1:7" s="99" customFormat="1" ht="15" customHeight="1" thickBot="1" x14ac:dyDescent="0.25">
      <c r="A27" s="1198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98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199"/>
      <c r="B29" s="1160" t="s">
        <v>133</v>
      </c>
      <c r="C29" s="1144" t="s">
        <v>1489</v>
      </c>
      <c r="D29" s="1213"/>
      <c r="E29" s="1213"/>
      <c r="F29" s="142">
        <v>0</v>
      </c>
      <c r="G29" s="1213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13"/>
      <c r="E30" s="1213"/>
      <c r="F30" s="1212">
        <v>0</v>
      </c>
      <c r="G30" s="1213"/>
    </row>
    <row r="31" spans="1:7" s="99" customFormat="1" ht="15" customHeight="1" thickBot="1" x14ac:dyDescent="0.25">
      <c r="A31" s="1200"/>
      <c r="B31" s="1160" t="s">
        <v>149</v>
      </c>
      <c r="C31" s="1144" t="s">
        <v>1491</v>
      </c>
      <c r="D31" s="1213"/>
      <c r="E31" s="1213"/>
      <c r="F31" s="1212">
        <v>0</v>
      </c>
      <c r="G31" s="1213"/>
    </row>
    <row r="32" spans="1:7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15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236</v>
      </c>
      <c r="F33" s="148">
        <f t="shared" si="2"/>
        <v>0</v>
      </c>
      <c r="G33" s="148"/>
    </row>
    <row r="34" spans="1:10" s="96" customFormat="1" ht="15" hidden="1" customHeight="1" x14ac:dyDescent="0.2">
      <c r="A34" s="1133"/>
      <c r="B34" s="108" t="s">
        <v>28</v>
      </c>
      <c r="C34" s="4" t="s">
        <v>507</v>
      </c>
      <c r="D34" s="149">
        <v>0</v>
      </c>
      <c r="E34" s="149">
        <v>236</v>
      </c>
      <c r="F34" s="149"/>
      <c r="G34" s="149"/>
    </row>
    <row r="35" spans="1:10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30" customHeight="1" thickBot="1" x14ac:dyDescent="0.25">
      <c r="A36" s="1198" t="s">
        <v>27</v>
      </c>
      <c r="B36" s="1161"/>
      <c r="C36" s="1156" t="s">
        <v>1506</v>
      </c>
      <c r="D36" s="1185"/>
      <c r="E36" s="1185"/>
      <c r="F36" s="119">
        <v>0</v>
      </c>
      <c r="G36" s="1185"/>
    </row>
    <row r="37" spans="1:10" s="96" customFormat="1" ht="30" customHeight="1" thickBot="1" x14ac:dyDescent="0.25">
      <c r="A37" s="100"/>
      <c r="B37" s="1162" t="s">
        <v>28</v>
      </c>
      <c r="C37" s="1151" t="s">
        <v>1492</v>
      </c>
      <c r="D37" s="1185"/>
      <c r="E37" s="1185"/>
      <c r="F37" s="1212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</row>
    <row r="39" spans="1:10" s="96" customFormat="1" ht="28.5" customHeight="1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92">
        <f>SUM(F41:F43)</f>
        <v>110000</v>
      </c>
      <c r="G40" s="1185"/>
    </row>
    <row r="41" spans="1:10" s="96" customFormat="1" ht="15" customHeight="1" thickBot="1" x14ac:dyDescent="0.25">
      <c r="A41" s="1199"/>
      <c r="B41" s="1160" t="s">
        <v>36</v>
      </c>
      <c r="C41" s="1144" t="s">
        <v>1496</v>
      </c>
      <c r="D41" s="1185"/>
      <c r="E41" s="1185"/>
      <c r="F41" s="121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212">
        <v>0</v>
      </c>
      <c r="G42" s="1185"/>
    </row>
    <row r="43" spans="1:10" s="99" customFormat="1" ht="15" customHeight="1" thickBot="1" x14ac:dyDescent="0.25">
      <c r="A43" s="1200"/>
      <c r="B43" s="1160" t="s">
        <v>1499</v>
      </c>
      <c r="C43" s="1144" t="s">
        <v>1498</v>
      </c>
      <c r="D43" s="119">
        <v>75958</v>
      </c>
      <c r="E43" s="119">
        <v>101096</v>
      </c>
      <c r="F43" s="1212">
        <f>SUM(F44:F45)</f>
        <v>110000</v>
      </c>
      <c r="G43" s="119">
        <f>F43/E43*100</f>
        <v>108.80747012740366</v>
      </c>
      <c r="I43" s="110"/>
      <c r="J43" s="110">
        <f>SUM(F65-F47)</f>
        <v>0</v>
      </c>
    </row>
    <row r="44" spans="1:10" s="99" customFormat="1" ht="15" customHeight="1" thickBot="1" x14ac:dyDescent="0.25">
      <c r="A44" s="1408"/>
      <c r="B44" s="1409" t="s">
        <v>1777</v>
      </c>
      <c r="C44" s="1410" t="s">
        <v>1775</v>
      </c>
      <c r="D44" s="1224"/>
      <c r="E44" s="1224"/>
      <c r="F44" s="1412">
        <v>11628</v>
      </c>
      <c r="G44" s="1224"/>
      <c r="I44" s="110"/>
      <c r="J44" s="110"/>
    </row>
    <row r="45" spans="1:10" s="99" customFormat="1" ht="15" customHeight="1" thickBot="1" x14ac:dyDescent="0.25">
      <c r="A45" s="1408"/>
      <c r="B45" s="1409" t="s">
        <v>1778</v>
      </c>
      <c r="C45" s="1410" t="s">
        <v>1776</v>
      </c>
      <c r="D45" s="1224"/>
      <c r="E45" s="1224"/>
      <c r="F45" s="1412">
        <v>98372</v>
      </c>
      <c r="G45" s="1224"/>
      <c r="I45" s="110"/>
      <c r="J45" s="110"/>
    </row>
    <row r="46" spans="1:10" s="99" customFormat="1" ht="15" hidden="1" customHeight="1" thickBot="1" x14ac:dyDescent="0.3">
      <c r="A46" s="116"/>
      <c r="B46" s="117"/>
      <c r="C46" s="2" t="s">
        <v>542</v>
      </c>
      <c r="D46" s="119"/>
      <c r="E46" s="119"/>
      <c r="F46" s="119"/>
      <c r="G46" s="119"/>
    </row>
    <row r="47" spans="1:10" s="99" customFormat="1" ht="15" customHeight="1" thickBot="1" x14ac:dyDescent="0.25">
      <c r="A47" s="150" t="s">
        <v>38</v>
      </c>
      <c r="B47" s="151"/>
      <c r="C47" s="354" t="s">
        <v>510</v>
      </c>
      <c r="D47" s="152">
        <f>SUM(D8,D19,D28,D32,D33,D43)</f>
        <v>97604</v>
      </c>
      <c r="E47" s="152">
        <f>SUM(E8,E19,E28,E32,E33,E43)</f>
        <v>126223</v>
      </c>
      <c r="F47" s="152">
        <f>SUM(F8,F19,F28,F32,F36,F38,F33,F40)</f>
        <v>130000</v>
      </c>
      <c r="G47" s="152">
        <f>F47/E47*100</f>
        <v>102.99232311068505</v>
      </c>
      <c r="I47" s="110"/>
    </row>
    <row r="48" spans="1:10" s="99" customFormat="1" ht="15" customHeight="1" thickBot="1" x14ac:dyDescent="0.25">
      <c r="A48" s="336"/>
      <c r="B48" s="336"/>
      <c r="C48" s="355"/>
      <c r="D48" s="388"/>
      <c r="E48" s="388"/>
      <c r="F48" s="388"/>
      <c r="G48" s="388"/>
    </row>
    <row r="49" spans="1:7" s="411" customFormat="1" ht="15" customHeight="1" thickBot="1" x14ac:dyDescent="0.25">
      <c r="A49" s="150"/>
      <c r="B49" s="151"/>
      <c r="C49" s="387" t="s">
        <v>82</v>
      </c>
      <c r="D49" s="152"/>
      <c r="E49" s="152"/>
      <c r="F49" s="152"/>
      <c r="G49" s="152"/>
    </row>
    <row r="50" spans="1:7" s="96" customFormat="1" ht="15" customHeight="1" thickBot="1" x14ac:dyDescent="0.25">
      <c r="A50" s="1198" t="s">
        <v>2</v>
      </c>
      <c r="B50" s="2"/>
      <c r="C50" s="1156" t="s">
        <v>49</v>
      </c>
      <c r="D50" s="141">
        <f>SUM(D51:D55)</f>
        <v>97604</v>
      </c>
      <c r="E50" s="141">
        <f>SUM(E51:E56)</f>
        <v>124247</v>
      </c>
      <c r="F50" s="141">
        <f>SUM(F51:F56)</f>
        <v>129746</v>
      </c>
      <c r="G50" s="141">
        <f>F50/E50*100</f>
        <v>104.42586138900738</v>
      </c>
    </row>
    <row r="51" spans="1:7" s="99" customFormat="1" ht="15" customHeight="1" x14ac:dyDescent="0.2">
      <c r="A51" s="113"/>
      <c r="B51" s="1165" t="s">
        <v>50</v>
      </c>
      <c r="C51" s="7" t="s">
        <v>51</v>
      </c>
      <c r="D51" s="147">
        <v>28809</v>
      </c>
      <c r="E51" s="147">
        <v>29630</v>
      </c>
      <c r="F51" s="147">
        <v>31400</v>
      </c>
      <c r="G51" s="147">
        <f>F51/E51*100</f>
        <v>105.97367532905839</v>
      </c>
    </row>
    <row r="52" spans="1:7" s="99" customFormat="1" ht="15" customHeight="1" x14ac:dyDescent="0.2">
      <c r="A52" s="97"/>
      <c r="B52" s="1166" t="s">
        <v>52</v>
      </c>
      <c r="C52" s="3" t="s">
        <v>53</v>
      </c>
      <c r="D52" s="142">
        <v>7733</v>
      </c>
      <c r="E52" s="142">
        <v>8019</v>
      </c>
      <c r="F52" s="142">
        <v>8540</v>
      </c>
      <c r="G52" s="142">
        <f>F52/E52*100</f>
        <v>106.49706946003241</v>
      </c>
    </row>
    <row r="53" spans="1:7" s="99" customFormat="1" ht="15" customHeight="1" x14ac:dyDescent="0.2">
      <c r="A53" s="97"/>
      <c r="B53" s="1166" t="s">
        <v>54</v>
      </c>
      <c r="C53" s="3" t="s">
        <v>55</v>
      </c>
      <c r="D53" s="768">
        <v>61062</v>
      </c>
      <c r="E53" s="768">
        <v>85562</v>
      </c>
      <c r="F53" s="768">
        <v>89806</v>
      </c>
      <c r="G53" s="142">
        <f>F53/E53*100</f>
        <v>104.96014585914308</v>
      </c>
    </row>
    <row r="54" spans="1:7" s="99" customFormat="1" ht="15" customHeight="1" x14ac:dyDescent="0.2">
      <c r="A54" s="97"/>
      <c r="B54" s="1166" t="s">
        <v>56</v>
      </c>
      <c r="C54" s="3" t="s">
        <v>57</v>
      </c>
      <c r="D54" s="142"/>
      <c r="E54" s="142"/>
      <c r="F54" s="142">
        <v>0</v>
      </c>
      <c r="G54" s="142"/>
    </row>
    <row r="55" spans="1:7" s="99" customFormat="1" ht="15" customHeight="1" thickBot="1" x14ac:dyDescent="0.25">
      <c r="A55" s="97"/>
      <c r="B55" s="1166" t="s">
        <v>227</v>
      </c>
      <c r="C55" s="3" t="s">
        <v>59</v>
      </c>
      <c r="D55" s="142">
        <v>0</v>
      </c>
      <c r="E55" s="142">
        <v>0</v>
      </c>
      <c r="F55" s="142">
        <v>0</v>
      </c>
      <c r="G55" s="142"/>
    </row>
    <row r="56" spans="1:7" s="99" customFormat="1" ht="15" hidden="1" customHeight="1" thickBot="1" x14ac:dyDescent="0.25">
      <c r="A56" s="97"/>
      <c r="B56" s="109" t="s">
        <v>132</v>
      </c>
      <c r="C56" s="3" t="s">
        <v>72</v>
      </c>
      <c r="D56" s="142">
        <v>0</v>
      </c>
      <c r="E56" s="142">
        <v>1036</v>
      </c>
      <c r="F56" s="142">
        <v>0</v>
      </c>
      <c r="G56" s="142"/>
    </row>
    <row r="57" spans="1:7" s="99" customFormat="1" ht="15" customHeight="1" thickBot="1" x14ac:dyDescent="0.25">
      <c r="A57" s="1198" t="s">
        <v>3</v>
      </c>
      <c r="B57" s="2"/>
      <c r="C57" s="1156" t="s">
        <v>1513</v>
      </c>
      <c r="D57" s="141">
        <f>SUM(D58:D62)</f>
        <v>0</v>
      </c>
      <c r="E57" s="141">
        <f t="shared" ref="E57" si="3">SUM(E58:E62)</f>
        <v>1976</v>
      </c>
      <c r="F57" s="141">
        <f>SUM(F58:F62)</f>
        <v>254</v>
      </c>
      <c r="G57" s="141"/>
    </row>
    <row r="58" spans="1:7" s="96" customFormat="1" ht="15" customHeight="1" x14ac:dyDescent="0.2">
      <c r="A58" s="113"/>
      <c r="B58" s="1165" t="s">
        <v>4</v>
      </c>
      <c r="C58" s="1151" t="s">
        <v>1173</v>
      </c>
      <c r="D58" s="147">
        <v>0</v>
      </c>
      <c r="E58" s="147">
        <v>1976</v>
      </c>
      <c r="F58" s="147">
        <v>254</v>
      </c>
      <c r="G58" s="147"/>
    </row>
    <row r="59" spans="1:7" s="99" customFormat="1" ht="15" customHeight="1" x14ac:dyDescent="0.2">
      <c r="A59" s="97"/>
      <c r="B59" s="1166" t="s">
        <v>6</v>
      </c>
      <c r="C59" s="1144" t="s">
        <v>64</v>
      </c>
      <c r="D59" s="142">
        <v>0</v>
      </c>
      <c r="E59" s="142">
        <v>0</v>
      </c>
      <c r="F59" s="142">
        <v>0</v>
      </c>
      <c r="G59" s="142"/>
    </row>
    <row r="60" spans="1:7" s="99" customFormat="1" ht="15" customHeight="1" thickBot="1" x14ac:dyDescent="0.25">
      <c r="A60" s="97"/>
      <c r="B60" s="1166" t="s">
        <v>7</v>
      </c>
      <c r="C60" s="1144" t="s">
        <v>1500</v>
      </c>
      <c r="D60" s="1212"/>
      <c r="E60" s="1212"/>
      <c r="F60" s="1212">
        <v>0</v>
      </c>
      <c r="G60" s="1212"/>
    </row>
    <row r="61" spans="1:7" s="99" customFormat="1" ht="30" hidden="1" customHeight="1" x14ac:dyDescent="0.2">
      <c r="A61" s="97"/>
      <c r="B61" s="109" t="s">
        <v>9</v>
      </c>
      <c r="C61" s="3" t="s">
        <v>65</v>
      </c>
      <c r="D61" s="142">
        <v>0</v>
      </c>
      <c r="E61" s="142">
        <v>0</v>
      </c>
      <c r="F61" s="142">
        <v>0</v>
      </c>
      <c r="G61" s="142"/>
    </row>
    <row r="62" spans="1:7" s="99" customFormat="1" ht="15" hidden="1" customHeight="1" thickBot="1" x14ac:dyDescent="0.25">
      <c r="A62" s="97"/>
      <c r="B62" s="109" t="s">
        <v>11</v>
      </c>
      <c r="C62" s="3" t="s">
        <v>513</v>
      </c>
      <c r="D62" s="142">
        <v>0</v>
      </c>
      <c r="E62" s="142">
        <v>0</v>
      </c>
      <c r="F62" s="142">
        <v>0</v>
      </c>
      <c r="G62" s="142"/>
    </row>
    <row r="63" spans="1:7" s="99" customFormat="1" ht="15" hidden="1" customHeight="1" thickBot="1" x14ac:dyDescent="0.25">
      <c r="A63" s="1132" t="s">
        <v>12</v>
      </c>
      <c r="B63" s="2"/>
      <c r="C63" s="10" t="s">
        <v>514</v>
      </c>
      <c r="D63" s="119">
        <v>0</v>
      </c>
      <c r="E63" s="119">
        <v>0</v>
      </c>
      <c r="F63" s="119">
        <v>0</v>
      </c>
      <c r="G63" s="119"/>
    </row>
    <row r="64" spans="1:7" s="99" customFormat="1" ht="15" hidden="1" customHeight="1" thickBot="1" x14ac:dyDescent="0.25">
      <c r="A64" s="1132"/>
      <c r="B64" s="2"/>
      <c r="C64" s="10" t="s">
        <v>515</v>
      </c>
      <c r="D64" s="119"/>
      <c r="E64" s="119"/>
      <c r="F64" s="119"/>
      <c r="G64" s="119"/>
    </row>
    <row r="65" spans="1:7" s="99" customFormat="1" ht="15" customHeight="1" thickBot="1" x14ac:dyDescent="0.25">
      <c r="A65" s="150" t="s">
        <v>12</v>
      </c>
      <c r="B65" s="151"/>
      <c r="C65" s="354" t="s">
        <v>1501</v>
      </c>
      <c r="D65" s="152">
        <f>+D50+D57+D63</f>
        <v>97604</v>
      </c>
      <c r="E65" s="152">
        <f t="shared" ref="E65" si="4">+E50+E57+E63</f>
        <v>126223</v>
      </c>
      <c r="F65" s="152">
        <f>+F50+F57+F63+F64</f>
        <v>130000</v>
      </c>
      <c r="G65" s="152">
        <f>F65/E65*100</f>
        <v>102.99232311068505</v>
      </c>
    </row>
    <row r="66" spans="1:7" s="99" customFormat="1" ht="15" customHeight="1" thickBot="1" x14ac:dyDescent="0.25">
      <c r="A66" s="131"/>
      <c r="B66" s="132"/>
      <c r="C66" s="132"/>
      <c r="D66" s="132"/>
      <c r="E66" s="132"/>
      <c r="F66" s="132"/>
      <c r="G66" s="132"/>
    </row>
    <row r="67" spans="1:7" s="99" customFormat="1" ht="15" customHeight="1" thickBot="1" x14ac:dyDescent="0.25">
      <c r="A67" s="133" t="s">
        <v>136</v>
      </c>
      <c r="B67" s="134"/>
      <c r="C67" s="135"/>
      <c r="D67" s="136">
        <v>14</v>
      </c>
      <c r="E67" s="136">
        <v>14</v>
      </c>
      <c r="F67" s="136">
        <v>14</v>
      </c>
      <c r="G67" s="136"/>
    </row>
    <row r="68" spans="1:7" s="99" customFormat="1" ht="15" customHeight="1" thickBot="1" x14ac:dyDescent="0.25">
      <c r="A68" s="133" t="s">
        <v>137</v>
      </c>
      <c r="B68" s="134"/>
      <c r="C68" s="135"/>
      <c r="D68" s="356"/>
      <c r="E68" s="356"/>
      <c r="F68" s="356"/>
      <c r="G68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31496062992125984" right="0.27559055118110237" top="0.51181102362204722" bottom="0.35433070866141736" header="0.51181102362204722" footer="0.15748031496062992"/>
  <pageSetup paperSize="9" scale="67" firstPageNumber="78" orientation="portrait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66"/>
  <sheetViews>
    <sheetView view="pageBreakPreview" zoomScaleNormal="130" workbookViewId="0">
      <selection activeCell="H6" sqref="H6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0.33203125" style="76" hidden="1" customWidth="1"/>
    <col min="5" max="5" width="13.5" style="76" hidden="1" customWidth="1"/>
    <col min="6" max="6" width="17.6640625" style="76" customWidth="1"/>
    <col min="7" max="7" width="10.33203125" style="76" hidden="1" customWidth="1"/>
    <col min="8" max="8" width="10.3320312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1816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1382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1634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98" t="s">
        <v>2</v>
      </c>
      <c r="B8" s="94"/>
      <c r="C8" s="1142" t="s">
        <v>1774</v>
      </c>
      <c r="D8" s="141">
        <f>SUM(D9:D18)</f>
        <v>10033</v>
      </c>
      <c r="E8" s="141">
        <f t="shared" ref="E8:F8" si="0">SUM(E9:E18)</f>
        <v>10050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99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5900</v>
      </c>
      <c r="E10" s="142">
        <v>5900</v>
      </c>
      <c r="F10" s="142">
        <v>0</v>
      </c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2000</v>
      </c>
      <c r="E11" s="142">
        <v>2000</v>
      </c>
      <c r="F11" s="142">
        <v>0</v>
      </c>
      <c r="G11" s="142">
        <f>F11/E11*100</f>
        <v>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2133</v>
      </c>
      <c r="E14" s="143">
        <v>2133</v>
      </c>
      <c r="F14" s="142">
        <v>0</v>
      </c>
      <c r="G14" s="143">
        <f>F14/E14*100</f>
        <v>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>
        <v>17</v>
      </c>
      <c r="F16" s="142">
        <v>0</v>
      </c>
      <c r="G16" s="142"/>
    </row>
    <row r="17" spans="1:7" s="99" customFormat="1" ht="15" customHeight="1" x14ac:dyDescent="0.2">
      <c r="A17" s="1202"/>
      <c r="B17" s="1170" t="s">
        <v>234</v>
      </c>
      <c r="C17" s="1149" t="s">
        <v>1480</v>
      </c>
      <c r="D17" s="1211"/>
      <c r="E17" s="1211"/>
      <c r="F17" s="1211">
        <v>0</v>
      </c>
      <c r="G17" s="1211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1198" t="s">
        <v>3</v>
      </c>
      <c r="B19" s="94"/>
      <c r="C19" s="1142" t="s">
        <v>1482</v>
      </c>
      <c r="D19" s="141">
        <f>SUM(D20:D26)</f>
        <v>11613</v>
      </c>
      <c r="E19" s="141">
        <f t="shared" ref="E19:F19" si="1">SUM(E20:E26)</f>
        <v>14841</v>
      </c>
      <c r="F19" s="141">
        <f t="shared" si="1"/>
        <v>0</v>
      </c>
      <c r="G19" s="141">
        <f>F19/E19*100</f>
        <v>0</v>
      </c>
    </row>
    <row r="20" spans="1:7" s="99" customFormat="1" ht="14.2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12298</v>
      </c>
      <c r="F20" s="142">
        <v>0</v>
      </c>
      <c r="G20" s="142">
        <f>F20/E20*100</f>
        <v>0</v>
      </c>
    </row>
    <row r="21" spans="1:7" s="99" customFormat="1" ht="14.2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453</v>
      </c>
      <c r="F21" s="142">
        <v>0</v>
      </c>
      <c r="G21" s="142"/>
    </row>
    <row r="22" spans="1:7" s="99" customFormat="1" ht="15" customHeight="1" x14ac:dyDescent="0.2">
      <c r="A22" s="1173"/>
      <c r="B22" s="1148" t="s">
        <v>255</v>
      </c>
      <c r="C22" s="1152" t="s">
        <v>1484</v>
      </c>
      <c r="D22" s="1212"/>
      <c r="E22" s="1212"/>
      <c r="F22" s="1212">
        <v>0</v>
      </c>
      <c r="G22" s="121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2090</v>
      </c>
      <c r="F23" s="142">
        <v>0</v>
      </c>
      <c r="G23" s="142"/>
    </row>
    <row r="24" spans="1:7" s="99" customFormat="1" ht="15" customHeight="1" x14ac:dyDescent="0.2">
      <c r="A24" s="1173"/>
      <c r="B24" s="1148" t="s">
        <v>6</v>
      </c>
      <c r="C24" s="1144" t="s">
        <v>1485</v>
      </c>
      <c r="D24" s="1212"/>
      <c r="E24" s="1212"/>
      <c r="F24" s="1212">
        <v>0</v>
      </c>
      <c r="G24" s="121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212"/>
      <c r="E25" s="1212"/>
      <c r="F25" s="1212">
        <v>0</v>
      </c>
      <c r="G25" s="1212"/>
    </row>
    <row r="26" spans="1:7" s="99" customFormat="1" ht="15" customHeight="1" thickBot="1" x14ac:dyDescent="0.25">
      <c r="A26" s="1198" t="s">
        <v>12</v>
      </c>
      <c r="B26" s="2"/>
      <c r="C26" s="1142" t="s">
        <v>1487</v>
      </c>
      <c r="D26" s="142">
        <v>0</v>
      </c>
      <c r="E26" s="142">
        <v>0</v>
      </c>
      <c r="F26" s="141">
        <v>0</v>
      </c>
      <c r="G26" s="142"/>
    </row>
    <row r="27" spans="1:7" s="99" customFormat="1" ht="15" customHeight="1" thickBot="1" x14ac:dyDescent="0.25">
      <c r="A27" s="1198"/>
      <c r="B27" s="1148" t="s">
        <v>13</v>
      </c>
      <c r="C27" s="1144" t="s">
        <v>1488</v>
      </c>
      <c r="D27" s="143"/>
      <c r="E27" s="143"/>
      <c r="F27" s="143">
        <v>0</v>
      </c>
      <c r="G27" s="143"/>
    </row>
    <row r="28" spans="1:7" s="99" customFormat="1" ht="15" customHeight="1" thickBot="1" x14ac:dyDescent="0.25">
      <c r="A28" s="1198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199"/>
      <c r="B29" s="1160" t="s">
        <v>133</v>
      </c>
      <c r="C29" s="1144" t="s">
        <v>1489</v>
      </c>
      <c r="D29" s="1213"/>
      <c r="E29" s="1213"/>
      <c r="F29" s="142">
        <v>0</v>
      </c>
      <c r="G29" s="1213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13"/>
      <c r="E30" s="1213"/>
      <c r="F30" s="1212">
        <v>0</v>
      </c>
      <c r="G30" s="1213"/>
    </row>
    <row r="31" spans="1:7" s="99" customFormat="1" ht="15" customHeight="1" thickBot="1" x14ac:dyDescent="0.25">
      <c r="A31" s="1200"/>
      <c r="B31" s="1160" t="s">
        <v>149</v>
      </c>
      <c r="C31" s="1144" t="s">
        <v>1491</v>
      </c>
      <c r="D31" s="1213"/>
      <c r="E31" s="1213"/>
      <c r="F31" s="1212">
        <v>0</v>
      </c>
      <c r="G31" s="1213"/>
    </row>
    <row r="32" spans="1:7" s="96" customFormat="1" ht="15" hidden="1" customHeight="1" thickBot="1" x14ac:dyDescent="0.25">
      <c r="A32" s="1132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119"/>
    </row>
    <row r="33" spans="1:10" s="96" customFormat="1" ht="15" hidden="1" customHeight="1" thickBot="1" x14ac:dyDescent="0.25">
      <c r="A33" s="1132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236</v>
      </c>
      <c r="F33" s="148">
        <f t="shared" si="2"/>
        <v>0</v>
      </c>
      <c r="G33" s="148"/>
    </row>
    <row r="34" spans="1:10" s="96" customFormat="1" ht="15" hidden="1" customHeight="1" x14ac:dyDescent="0.2">
      <c r="A34" s="1133"/>
      <c r="B34" s="108" t="s">
        <v>28</v>
      </c>
      <c r="C34" s="4" t="s">
        <v>507</v>
      </c>
      <c r="D34" s="149">
        <v>0</v>
      </c>
      <c r="E34" s="149">
        <v>236</v>
      </c>
      <c r="F34" s="149"/>
      <c r="G34" s="149"/>
    </row>
    <row r="35" spans="1:10" s="96" customFormat="1" ht="15" hidden="1" customHeight="1" thickBot="1" x14ac:dyDescent="0.25">
      <c r="A35" s="1134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6"/>
    </row>
    <row r="36" spans="1:10" s="96" customFormat="1" ht="30" customHeight="1" thickBot="1" x14ac:dyDescent="0.25">
      <c r="A36" s="1198" t="s">
        <v>27</v>
      </c>
      <c r="B36" s="1161"/>
      <c r="C36" s="1156" t="s">
        <v>1506</v>
      </c>
      <c r="D36" s="1185"/>
      <c r="E36" s="1185"/>
      <c r="F36" s="119">
        <v>0</v>
      </c>
      <c r="G36" s="1185"/>
    </row>
    <row r="37" spans="1:10" s="96" customFormat="1" ht="30.75" customHeight="1" thickBot="1" x14ac:dyDescent="0.25">
      <c r="A37" s="100"/>
      <c r="B37" s="1162" t="s">
        <v>28</v>
      </c>
      <c r="C37" s="1151" t="s">
        <v>1492</v>
      </c>
      <c r="D37" s="1185"/>
      <c r="E37" s="1185"/>
      <c r="F37" s="1212">
        <v>0</v>
      </c>
      <c r="G37" s="1185"/>
    </row>
    <row r="38" spans="1:10" s="96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185"/>
    </row>
    <row r="39" spans="1:10" s="96" customFormat="1" ht="15" customHeight="1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185"/>
    </row>
    <row r="40" spans="1:10" s="96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85">
        <f>SUM(F41:F43)</f>
        <v>0</v>
      </c>
      <c r="G40" s="1185"/>
    </row>
    <row r="41" spans="1:10" s="96" customFormat="1" ht="15" customHeight="1" thickBot="1" x14ac:dyDescent="0.25">
      <c r="A41" s="1199"/>
      <c r="B41" s="1160" t="s">
        <v>36</v>
      </c>
      <c r="C41" s="1144" t="s">
        <v>1496</v>
      </c>
      <c r="D41" s="1185"/>
      <c r="E41" s="1185"/>
      <c r="F41" s="142">
        <v>0</v>
      </c>
      <c r="G41" s="1185"/>
    </row>
    <row r="42" spans="1:10" s="96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212">
        <v>0</v>
      </c>
      <c r="G42" s="1185"/>
    </row>
    <row r="43" spans="1:10" s="99" customFormat="1" ht="15" customHeight="1" thickBot="1" x14ac:dyDescent="0.25">
      <c r="A43" s="1200"/>
      <c r="B43" s="1160" t="s">
        <v>1499</v>
      </c>
      <c r="C43" s="1144" t="s">
        <v>1498</v>
      </c>
      <c r="D43" s="119">
        <v>75958</v>
      </c>
      <c r="E43" s="119">
        <v>101096</v>
      </c>
      <c r="F43" s="1212">
        <v>0</v>
      </c>
      <c r="G43" s="119">
        <f>F43/E43*100</f>
        <v>0</v>
      </c>
      <c r="I43" s="110"/>
      <c r="J43" s="110">
        <f>SUM(F63-F45)</f>
        <v>0</v>
      </c>
    </row>
    <row r="44" spans="1:10" s="99" customFormat="1" ht="15" hidden="1" customHeight="1" thickBot="1" x14ac:dyDescent="0.3">
      <c r="A44" s="116"/>
      <c r="B44" s="117"/>
      <c r="C44" s="2" t="s">
        <v>542</v>
      </c>
      <c r="D44" s="119"/>
      <c r="E44" s="119"/>
      <c r="F44" s="119"/>
      <c r="G44" s="119"/>
    </row>
    <row r="45" spans="1:10" s="99" customFormat="1" ht="15" customHeight="1" thickBot="1" x14ac:dyDescent="0.25">
      <c r="A45" s="150" t="s">
        <v>38</v>
      </c>
      <c r="B45" s="151"/>
      <c r="C45" s="354" t="s">
        <v>510</v>
      </c>
      <c r="D45" s="152">
        <f>SUM(D8,D19,D28,D32,D33,D43)</f>
        <v>97604</v>
      </c>
      <c r="E45" s="152">
        <f>SUM(E8,E19,E28,E32,E33,E43)</f>
        <v>126223</v>
      </c>
      <c r="F45" s="152">
        <f>SUM(F8,F19,F28,F32,F33,F40)</f>
        <v>0</v>
      </c>
      <c r="G45" s="152">
        <f>F45/E45*100</f>
        <v>0</v>
      </c>
      <c r="I45" s="110"/>
    </row>
    <row r="46" spans="1:10" s="99" customFormat="1" ht="15" customHeight="1" thickBot="1" x14ac:dyDescent="0.25">
      <c r="A46" s="336"/>
      <c r="B46" s="336"/>
      <c r="C46" s="355"/>
      <c r="D46" s="388"/>
      <c r="E46" s="388"/>
      <c r="F46" s="388"/>
      <c r="G46" s="388"/>
    </row>
    <row r="47" spans="1:10" s="411" customFormat="1" ht="15" customHeight="1" thickBot="1" x14ac:dyDescent="0.25">
      <c r="A47" s="150"/>
      <c r="B47" s="151"/>
      <c r="C47" s="387" t="s">
        <v>82</v>
      </c>
      <c r="D47" s="152"/>
      <c r="E47" s="152"/>
      <c r="F47" s="152"/>
      <c r="G47" s="152"/>
    </row>
    <row r="48" spans="1:10" s="96" customFormat="1" ht="15" customHeight="1" thickBot="1" x14ac:dyDescent="0.25">
      <c r="A48" s="1198" t="s">
        <v>2</v>
      </c>
      <c r="B48" s="2"/>
      <c r="C48" s="1156" t="s">
        <v>49</v>
      </c>
      <c r="D48" s="141">
        <f>SUM(D49:D53)</f>
        <v>97604</v>
      </c>
      <c r="E48" s="141">
        <f>SUM(E49:E54)</f>
        <v>124247</v>
      </c>
      <c r="F48" s="141">
        <f>SUM(F49:F54)</f>
        <v>0</v>
      </c>
      <c r="G48" s="141">
        <f>F48/E48*100</f>
        <v>0</v>
      </c>
    </row>
    <row r="49" spans="1:7" s="99" customFormat="1" ht="15" customHeight="1" x14ac:dyDescent="0.2">
      <c r="A49" s="113"/>
      <c r="B49" s="1165" t="s">
        <v>50</v>
      </c>
      <c r="C49" s="7" t="s">
        <v>51</v>
      </c>
      <c r="D49" s="147">
        <v>28809</v>
      </c>
      <c r="E49" s="147">
        <v>29630</v>
      </c>
      <c r="F49" s="147">
        <v>0</v>
      </c>
      <c r="G49" s="147">
        <f>F49/E49*100</f>
        <v>0</v>
      </c>
    </row>
    <row r="50" spans="1:7" s="99" customFormat="1" ht="15" customHeight="1" x14ac:dyDescent="0.2">
      <c r="A50" s="97"/>
      <c r="B50" s="1166" t="s">
        <v>52</v>
      </c>
      <c r="C50" s="3" t="s">
        <v>53</v>
      </c>
      <c r="D50" s="142">
        <v>7733</v>
      </c>
      <c r="E50" s="142">
        <v>8019</v>
      </c>
      <c r="F50" s="142">
        <v>0</v>
      </c>
      <c r="G50" s="142">
        <f>F50/E50*100</f>
        <v>0</v>
      </c>
    </row>
    <row r="51" spans="1:7" s="99" customFormat="1" ht="15" customHeight="1" x14ac:dyDescent="0.2">
      <c r="A51" s="97"/>
      <c r="B51" s="1166" t="s">
        <v>54</v>
      </c>
      <c r="C51" s="3" t="s">
        <v>55</v>
      </c>
      <c r="D51" s="768">
        <v>61062</v>
      </c>
      <c r="E51" s="768">
        <v>85562</v>
      </c>
      <c r="F51" s="768">
        <v>0</v>
      </c>
      <c r="G51" s="142">
        <f>F51/E51*100</f>
        <v>0</v>
      </c>
    </row>
    <row r="52" spans="1:7" s="99" customFormat="1" ht="15" customHeight="1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  <c r="G52" s="142"/>
    </row>
    <row r="53" spans="1:7" s="99" customFormat="1" ht="15" customHeight="1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  <c r="G53" s="142"/>
    </row>
    <row r="54" spans="1:7" s="99" customFormat="1" ht="15" hidden="1" customHeight="1" thickBot="1" x14ac:dyDescent="0.25">
      <c r="A54" s="97"/>
      <c r="B54" s="109" t="s">
        <v>132</v>
      </c>
      <c r="C54" s="3" t="s">
        <v>72</v>
      </c>
      <c r="D54" s="142">
        <v>0</v>
      </c>
      <c r="E54" s="142">
        <v>1036</v>
      </c>
      <c r="F54" s="142">
        <v>0</v>
      </c>
      <c r="G54" s="142"/>
    </row>
    <row r="55" spans="1:7" s="99" customFormat="1" ht="15" customHeight="1" thickBot="1" x14ac:dyDescent="0.25">
      <c r="A55" s="1198" t="s">
        <v>3</v>
      </c>
      <c r="B55" s="2"/>
      <c r="C55" s="1156" t="s">
        <v>1513</v>
      </c>
      <c r="D55" s="141">
        <f>SUM(D56:D60)</f>
        <v>0</v>
      </c>
      <c r="E55" s="141">
        <f t="shared" ref="E55:F55" si="3">SUM(E56:E60)</f>
        <v>1976</v>
      </c>
      <c r="F55" s="141">
        <f t="shared" si="3"/>
        <v>0</v>
      </c>
      <c r="G55" s="141"/>
    </row>
    <row r="56" spans="1:7" s="96" customFormat="1" ht="15" customHeight="1" x14ac:dyDescent="0.2">
      <c r="A56" s="113"/>
      <c r="B56" s="1165" t="s">
        <v>4</v>
      </c>
      <c r="C56" s="1151" t="s">
        <v>1173</v>
      </c>
      <c r="D56" s="147">
        <v>0</v>
      </c>
      <c r="E56" s="147">
        <v>1976</v>
      </c>
      <c r="F56" s="147">
        <v>0</v>
      </c>
      <c r="G56" s="147"/>
    </row>
    <row r="57" spans="1:7" s="99" customFormat="1" ht="15" customHeight="1" x14ac:dyDescent="0.2">
      <c r="A57" s="97"/>
      <c r="B57" s="1166" t="s">
        <v>6</v>
      </c>
      <c r="C57" s="1144" t="s">
        <v>64</v>
      </c>
      <c r="D57" s="142">
        <v>0</v>
      </c>
      <c r="E57" s="142">
        <v>0</v>
      </c>
      <c r="F57" s="142">
        <v>0</v>
      </c>
      <c r="G57" s="142"/>
    </row>
    <row r="58" spans="1:7" s="99" customFormat="1" ht="15" customHeight="1" thickBot="1" x14ac:dyDescent="0.25">
      <c r="A58" s="97"/>
      <c r="B58" s="1166" t="s">
        <v>7</v>
      </c>
      <c r="C58" s="1144" t="s">
        <v>1500</v>
      </c>
      <c r="D58" s="1212"/>
      <c r="E58" s="1212"/>
      <c r="F58" s="1212">
        <v>0</v>
      </c>
      <c r="G58" s="1212"/>
    </row>
    <row r="59" spans="1:7" s="99" customFormat="1" ht="30" hidden="1" customHeight="1" x14ac:dyDescent="0.2">
      <c r="A59" s="97"/>
      <c r="B59" s="109" t="s">
        <v>9</v>
      </c>
      <c r="C59" s="3" t="s">
        <v>65</v>
      </c>
      <c r="D59" s="142">
        <v>0</v>
      </c>
      <c r="E59" s="142">
        <v>0</v>
      </c>
      <c r="F59" s="142">
        <v>0</v>
      </c>
      <c r="G59" s="142"/>
    </row>
    <row r="60" spans="1:7" s="99" customFormat="1" ht="15" hidden="1" customHeight="1" thickBot="1" x14ac:dyDescent="0.25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  <c r="G60" s="142"/>
    </row>
    <row r="61" spans="1:7" s="99" customFormat="1" ht="15" hidden="1" customHeight="1" thickBot="1" x14ac:dyDescent="0.25">
      <c r="A61" s="1132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  <c r="G61" s="119"/>
    </row>
    <row r="62" spans="1:7" s="99" customFormat="1" ht="15" hidden="1" customHeight="1" thickBot="1" x14ac:dyDescent="0.25">
      <c r="A62" s="1132"/>
      <c r="B62" s="2"/>
      <c r="C62" s="10" t="s">
        <v>515</v>
      </c>
      <c r="D62" s="119"/>
      <c r="E62" s="119"/>
      <c r="F62" s="119"/>
      <c r="G62" s="119"/>
    </row>
    <row r="63" spans="1:7" s="99" customFormat="1" ht="15" customHeight="1" thickBot="1" x14ac:dyDescent="0.25">
      <c r="A63" s="150" t="s">
        <v>12</v>
      </c>
      <c r="B63" s="151"/>
      <c r="C63" s="354" t="s">
        <v>1501</v>
      </c>
      <c r="D63" s="152">
        <f>+D48+D55+D61</f>
        <v>97604</v>
      </c>
      <c r="E63" s="152">
        <f t="shared" ref="E63" si="4">+E48+E55+E61</f>
        <v>126223</v>
      </c>
      <c r="F63" s="152">
        <f>+F48+F55+F61+F62</f>
        <v>0</v>
      </c>
      <c r="G63" s="152">
        <f>F63/E63*100</f>
        <v>0</v>
      </c>
    </row>
    <row r="64" spans="1:7" s="99" customFormat="1" ht="15" customHeight="1" thickBot="1" x14ac:dyDescent="0.25">
      <c r="A64" s="131"/>
      <c r="B64" s="132"/>
      <c r="C64" s="132"/>
      <c r="D64" s="132"/>
      <c r="E64" s="132"/>
      <c r="F64" s="132"/>
      <c r="G64" s="132"/>
    </row>
    <row r="65" spans="1:7" s="99" customFormat="1" ht="15" customHeight="1" thickBot="1" x14ac:dyDescent="0.25">
      <c r="A65" s="133" t="s">
        <v>136</v>
      </c>
      <c r="B65" s="134"/>
      <c r="C65" s="135"/>
      <c r="D65" s="136">
        <v>14</v>
      </c>
      <c r="E65" s="136">
        <v>14</v>
      </c>
      <c r="F65" s="136"/>
      <c r="G65" s="136"/>
    </row>
    <row r="66" spans="1:7" s="99" customFormat="1" ht="15" customHeight="1" thickBot="1" x14ac:dyDescent="0.25">
      <c r="A66" s="133" t="s">
        <v>137</v>
      </c>
      <c r="B66" s="134"/>
      <c r="C66" s="135"/>
      <c r="D66" s="356"/>
      <c r="E66" s="356"/>
      <c r="F66" s="356"/>
      <c r="G6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31496062992125984" right="0.27559055118110237" top="0.51181102362204722" bottom="0.35433070866141736" header="0.51181102362204722" footer="0.15748031496062992"/>
  <pageSetup paperSize="9" scale="72" firstPageNumber="78" orientation="portrait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66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0.33203125" style="76" hidden="1" customWidth="1"/>
    <col min="5" max="5" width="13.5" style="76" hidden="1" customWidth="1"/>
    <col min="6" max="6" width="17.6640625" style="76" customWidth="1"/>
    <col min="7" max="7" width="10.33203125" style="76" hidden="1" customWidth="1"/>
    <col min="8" max="8" width="10.33203125" style="76" customWidth="1"/>
    <col min="9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1817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1382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1167" t="s">
        <v>1522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3.7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97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98" t="s">
        <v>2</v>
      </c>
      <c r="B8" s="94"/>
      <c r="C8" s="1142" t="s">
        <v>1774</v>
      </c>
      <c r="D8" s="141">
        <f>SUM(D9:D18)</f>
        <v>10033</v>
      </c>
      <c r="E8" s="141">
        <f t="shared" ref="E8:F8" si="0">SUM(E9:E18)</f>
        <v>10050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99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5900</v>
      </c>
      <c r="E10" s="142">
        <v>5900</v>
      </c>
      <c r="F10" s="142">
        <v>0</v>
      </c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2000</v>
      </c>
      <c r="E11" s="142">
        <v>2000</v>
      </c>
      <c r="F11" s="142">
        <v>0</v>
      </c>
      <c r="G11" s="142">
        <f>F11/E11*100</f>
        <v>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v>0</v>
      </c>
      <c r="G13" s="142"/>
    </row>
    <row r="14" spans="1:7" s="96" customFormat="1" ht="15" customHeight="1" x14ac:dyDescent="0.2">
      <c r="A14" s="97"/>
      <c r="B14" s="98" t="s">
        <v>228</v>
      </c>
      <c r="C14" s="1144" t="s">
        <v>1477</v>
      </c>
      <c r="D14" s="143">
        <v>2133</v>
      </c>
      <c r="E14" s="143">
        <v>2133</v>
      </c>
      <c r="F14" s="142">
        <v>0</v>
      </c>
      <c r="G14" s="143">
        <f>F14/E14*100</f>
        <v>0</v>
      </c>
    </row>
    <row r="15" spans="1:7" s="96" customFormat="1" ht="15" customHeight="1" x14ac:dyDescent="0.2">
      <c r="A15" s="100"/>
      <c r="B15" s="98" t="s">
        <v>230</v>
      </c>
      <c r="C15" s="1144" t="s">
        <v>1478</v>
      </c>
      <c r="D15" s="143"/>
      <c r="E15" s="143"/>
      <c r="F15" s="143">
        <v>0</v>
      </c>
      <c r="G15" s="143"/>
    </row>
    <row r="16" spans="1:7" s="99" customFormat="1" ht="15" customHeight="1" x14ac:dyDescent="0.2">
      <c r="A16" s="97"/>
      <c r="B16" s="105" t="s">
        <v>232</v>
      </c>
      <c r="C16" s="1144" t="s">
        <v>1479</v>
      </c>
      <c r="D16" s="142"/>
      <c r="E16" s="142">
        <v>17</v>
      </c>
      <c r="F16" s="142">
        <v>0</v>
      </c>
      <c r="G16" s="142"/>
    </row>
    <row r="17" spans="1:10" s="99" customFormat="1" ht="15" customHeight="1" x14ac:dyDescent="0.2">
      <c r="A17" s="1202"/>
      <c r="B17" s="1170" t="s">
        <v>234</v>
      </c>
      <c r="C17" s="1149" t="s">
        <v>1480</v>
      </c>
      <c r="D17" s="1211"/>
      <c r="E17" s="1211"/>
      <c r="F17" s="1211">
        <v>0</v>
      </c>
      <c r="G17" s="1211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10" s="96" customFormat="1" ht="29.25" customHeight="1" thickBot="1" x14ac:dyDescent="0.25">
      <c r="A19" s="1198" t="s">
        <v>3</v>
      </c>
      <c r="B19" s="94"/>
      <c r="C19" s="1142" t="s">
        <v>1482</v>
      </c>
      <c r="D19" s="141">
        <f>SUM(D20:D26)</f>
        <v>11613</v>
      </c>
      <c r="E19" s="141">
        <f t="shared" ref="E19:F19" si="1">SUM(E20:E26)</f>
        <v>14841</v>
      </c>
      <c r="F19" s="141">
        <f t="shared" si="1"/>
        <v>0</v>
      </c>
      <c r="G19" s="141">
        <f>F19/E19*100</f>
        <v>0</v>
      </c>
    </row>
    <row r="20" spans="1:10" s="99" customFormat="1" ht="1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12298</v>
      </c>
      <c r="F20" s="142">
        <v>0</v>
      </c>
      <c r="G20" s="142">
        <f>F20/E20*100</f>
        <v>0</v>
      </c>
    </row>
    <row r="21" spans="1:10" s="99" customFormat="1" ht="14.25" customHeight="1" x14ac:dyDescent="0.2">
      <c r="A21" s="97"/>
      <c r="B21" s="1148" t="s">
        <v>239</v>
      </c>
      <c r="C21" s="1152" t="s">
        <v>34</v>
      </c>
      <c r="D21" s="142">
        <v>0</v>
      </c>
      <c r="E21" s="142">
        <v>453</v>
      </c>
      <c r="F21" s="142">
        <v>0</v>
      </c>
      <c r="G21" s="142"/>
    </row>
    <row r="22" spans="1:10" s="99" customFormat="1" ht="15" customHeight="1" x14ac:dyDescent="0.2">
      <c r="A22" s="1173"/>
      <c r="B22" s="1148" t="s">
        <v>255</v>
      </c>
      <c r="C22" s="1152" t="s">
        <v>1484</v>
      </c>
      <c r="D22" s="1212"/>
      <c r="E22" s="1212"/>
      <c r="F22" s="1212">
        <v>0</v>
      </c>
      <c r="G22" s="142"/>
    </row>
    <row r="23" spans="1:10" s="99" customFormat="1" ht="15" customHeight="1" thickBot="1" x14ac:dyDescent="0.25">
      <c r="A23" s="97"/>
      <c r="B23" s="1148" t="s">
        <v>212</v>
      </c>
      <c r="C23" s="3" t="s">
        <v>501</v>
      </c>
      <c r="D23" s="142">
        <v>0</v>
      </c>
      <c r="E23" s="142">
        <v>2090</v>
      </c>
      <c r="F23" s="142">
        <v>0</v>
      </c>
      <c r="G23" s="142"/>
    </row>
    <row r="24" spans="1:10" s="99" customFormat="1" ht="15" customHeight="1" thickBot="1" x14ac:dyDescent="0.25">
      <c r="A24" s="1173"/>
      <c r="B24" s="1148" t="s">
        <v>6</v>
      </c>
      <c r="C24" s="1144" t="s">
        <v>1485</v>
      </c>
      <c r="D24" s="1212"/>
      <c r="E24" s="1212"/>
      <c r="F24" s="1212">
        <v>0</v>
      </c>
      <c r="G24" s="119"/>
    </row>
    <row r="25" spans="1:10" s="96" customFormat="1" ht="15" customHeight="1" thickBot="1" x14ac:dyDescent="0.25">
      <c r="A25" s="97"/>
      <c r="B25" s="98" t="s">
        <v>7</v>
      </c>
      <c r="C25" s="1144" t="s">
        <v>1486</v>
      </c>
      <c r="D25" s="1212"/>
      <c r="E25" s="1212"/>
      <c r="F25" s="1212">
        <v>0</v>
      </c>
      <c r="G25" s="119"/>
    </row>
    <row r="26" spans="1:10" s="96" customFormat="1" ht="15" customHeight="1" thickBot="1" x14ac:dyDescent="0.25">
      <c r="A26" s="1198" t="s">
        <v>12</v>
      </c>
      <c r="B26" s="2"/>
      <c r="C26" s="1142" t="s">
        <v>1487</v>
      </c>
      <c r="D26" s="142">
        <v>0</v>
      </c>
      <c r="E26" s="142">
        <v>0</v>
      </c>
      <c r="F26" s="141">
        <v>0</v>
      </c>
      <c r="G26" s="148"/>
    </row>
    <row r="27" spans="1:10" s="96" customFormat="1" ht="30" customHeight="1" thickBot="1" x14ac:dyDescent="0.25">
      <c r="A27" s="1198"/>
      <c r="B27" s="1148" t="s">
        <v>13</v>
      </c>
      <c r="C27" s="1144" t="s">
        <v>1488</v>
      </c>
      <c r="D27" s="143"/>
      <c r="E27" s="143"/>
      <c r="F27" s="143">
        <v>0</v>
      </c>
      <c r="G27" s="149"/>
    </row>
    <row r="28" spans="1:10" s="96" customFormat="1" ht="15" customHeight="1" thickBot="1" x14ac:dyDescent="0.25">
      <c r="A28" s="1198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46"/>
    </row>
    <row r="29" spans="1:10" s="99" customFormat="1" ht="15" customHeight="1" thickBot="1" x14ac:dyDescent="0.25">
      <c r="A29" s="1199"/>
      <c r="B29" s="1160" t="s">
        <v>133</v>
      </c>
      <c r="C29" s="1144" t="s">
        <v>1489</v>
      </c>
      <c r="D29" s="1213"/>
      <c r="E29" s="1213"/>
      <c r="F29" s="142">
        <v>0</v>
      </c>
      <c r="G29" s="119" t="e">
        <f>F29/E29*100</f>
        <v>#DIV/0!</v>
      </c>
      <c r="I29" s="110"/>
      <c r="J29" s="110">
        <f>SUM(F47-F31)</f>
        <v>0</v>
      </c>
    </row>
    <row r="30" spans="1:10" s="99" customFormat="1" ht="15" customHeight="1" thickBot="1" x14ac:dyDescent="0.25">
      <c r="A30" s="100"/>
      <c r="B30" s="1160" t="s">
        <v>983</v>
      </c>
      <c r="C30" s="1144" t="s">
        <v>1490</v>
      </c>
      <c r="D30" s="1213"/>
      <c r="E30" s="1213"/>
      <c r="F30" s="1212">
        <v>0</v>
      </c>
      <c r="G30" s="119"/>
    </row>
    <row r="31" spans="1:10" s="99" customFormat="1" ht="15" customHeight="1" thickBot="1" x14ac:dyDescent="0.25">
      <c r="A31" s="1200"/>
      <c r="B31" s="1160" t="s">
        <v>149</v>
      </c>
      <c r="C31" s="1144" t="s">
        <v>1491</v>
      </c>
      <c r="D31" s="1213"/>
      <c r="E31" s="1213"/>
      <c r="F31" s="1212">
        <v>0</v>
      </c>
      <c r="G31" s="152" t="e">
        <f>F31/E31*100</f>
        <v>#DIV/0!</v>
      </c>
      <c r="I31" s="110"/>
    </row>
    <row r="32" spans="1:10" s="99" customFormat="1" ht="15" hidden="1" customHeight="1" thickBot="1" x14ac:dyDescent="0.25">
      <c r="A32" s="1198" t="s">
        <v>68</v>
      </c>
      <c r="B32" s="94"/>
      <c r="C32" s="2" t="s">
        <v>539</v>
      </c>
      <c r="D32" s="119">
        <v>0</v>
      </c>
      <c r="E32" s="119">
        <v>0</v>
      </c>
      <c r="F32" s="119">
        <v>0</v>
      </c>
      <c r="G32" s="388"/>
    </row>
    <row r="33" spans="1:7" s="411" customFormat="1" ht="15" hidden="1" customHeight="1" thickBot="1" x14ac:dyDescent="0.25">
      <c r="A33" s="1198" t="s">
        <v>27</v>
      </c>
      <c r="B33" s="115"/>
      <c r="C33" s="2" t="s">
        <v>540</v>
      </c>
      <c r="D33" s="148">
        <f>+D34+D35</f>
        <v>0</v>
      </c>
      <c r="E33" s="148">
        <f t="shared" ref="E33:F33" si="2">+E34+E35</f>
        <v>236</v>
      </c>
      <c r="F33" s="148">
        <f t="shared" si="2"/>
        <v>0</v>
      </c>
      <c r="G33" s="152"/>
    </row>
    <row r="34" spans="1:7" s="96" customFormat="1" ht="15" hidden="1" customHeight="1" thickBot="1" x14ac:dyDescent="0.25">
      <c r="A34" s="1199"/>
      <c r="B34" s="108" t="s">
        <v>28</v>
      </c>
      <c r="C34" s="4" t="s">
        <v>507</v>
      </c>
      <c r="D34" s="149">
        <v>0</v>
      </c>
      <c r="E34" s="149">
        <v>236</v>
      </c>
      <c r="F34" s="149"/>
      <c r="G34" s="141">
        <f>F34/E34*100</f>
        <v>0</v>
      </c>
    </row>
    <row r="35" spans="1:7" s="99" customFormat="1" ht="15" hidden="1" customHeight="1" thickBot="1" x14ac:dyDescent="0.25">
      <c r="A35" s="1200"/>
      <c r="B35" s="112" t="s">
        <v>29</v>
      </c>
      <c r="C35" s="6" t="s">
        <v>508</v>
      </c>
      <c r="D35" s="146">
        <v>0</v>
      </c>
      <c r="E35" s="146">
        <v>0</v>
      </c>
      <c r="F35" s="146">
        <v>0</v>
      </c>
      <c r="G35" s="147" t="e">
        <f>F35/E35*100</f>
        <v>#DIV/0!</v>
      </c>
    </row>
    <row r="36" spans="1:7" s="99" customFormat="1" ht="29.25" customHeight="1" thickBot="1" x14ac:dyDescent="0.25">
      <c r="A36" s="1198" t="s">
        <v>27</v>
      </c>
      <c r="B36" s="1161"/>
      <c r="C36" s="1156" t="s">
        <v>1506</v>
      </c>
      <c r="D36" s="1185"/>
      <c r="E36" s="1185"/>
      <c r="F36" s="119">
        <v>0</v>
      </c>
      <c r="G36" s="142" t="e">
        <f>F36/E36*100</f>
        <v>#DIV/0!</v>
      </c>
    </row>
    <row r="37" spans="1:7" s="99" customFormat="1" ht="29.25" customHeight="1" thickBot="1" x14ac:dyDescent="0.25">
      <c r="A37" s="100"/>
      <c r="B37" s="1162" t="s">
        <v>28</v>
      </c>
      <c r="C37" s="1151" t="s">
        <v>1492</v>
      </c>
      <c r="D37" s="1185"/>
      <c r="E37" s="1185"/>
      <c r="F37" s="1212">
        <v>0</v>
      </c>
      <c r="G37" s="142" t="e">
        <f>F37/E37*100</f>
        <v>#DIV/0!</v>
      </c>
    </row>
    <row r="38" spans="1:7" s="99" customFormat="1" ht="15" customHeight="1" thickBot="1" x14ac:dyDescent="0.3">
      <c r="A38" s="116" t="s">
        <v>32</v>
      </c>
      <c r="B38" s="117"/>
      <c r="C38" s="1142" t="s">
        <v>1493</v>
      </c>
      <c r="D38" s="1185"/>
      <c r="E38" s="1185"/>
      <c r="F38" s="119">
        <v>0</v>
      </c>
      <c r="G38" s="142"/>
    </row>
    <row r="39" spans="1:7" s="99" customFormat="1" ht="28.5" customHeight="1" thickBot="1" x14ac:dyDescent="0.25">
      <c r="A39" s="1180"/>
      <c r="B39" s="1164" t="s">
        <v>33</v>
      </c>
      <c r="C39" s="1144" t="s">
        <v>1494</v>
      </c>
      <c r="D39" s="1185"/>
      <c r="E39" s="1185"/>
      <c r="F39" s="1185">
        <v>0</v>
      </c>
      <c r="G39" s="142"/>
    </row>
    <row r="40" spans="1:7" s="99" customFormat="1" ht="15" customHeight="1" thickBot="1" x14ac:dyDescent="0.3">
      <c r="A40" s="116" t="s">
        <v>74</v>
      </c>
      <c r="B40" s="117"/>
      <c r="C40" s="1156" t="s">
        <v>1495</v>
      </c>
      <c r="D40" s="1185"/>
      <c r="E40" s="1185"/>
      <c r="F40" s="1185">
        <f>SUM(F41:F43)</f>
        <v>0</v>
      </c>
      <c r="G40" s="141"/>
    </row>
    <row r="41" spans="1:7" s="96" customFormat="1" ht="15" customHeight="1" thickBot="1" x14ac:dyDescent="0.25">
      <c r="A41" s="1199"/>
      <c r="B41" s="1160" t="s">
        <v>36</v>
      </c>
      <c r="C41" s="1144" t="s">
        <v>1496</v>
      </c>
      <c r="D41" s="1185"/>
      <c r="E41" s="1185"/>
      <c r="F41" s="142">
        <v>0</v>
      </c>
      <c r="G41" s="147"/>
    </row>
    <row r="42" spans="1:7" s="99" customFormat="1" ht="15" customHeight="1" thickBot="1" x14ac:dyDescent="0.25">
      <c r="A42" s="100"/>
      <c r="B42" s="1160" t="s">
        <v>37</v>
      </c>
      <c r="C42" s="1144" t="s">
        <v>1497</v>
      </c>
      <c r="D42" s="1185"/>
      <c r="E42" s="1185"/>
      <c r="F42" s="1212">
        <v>0</v>
      </c>
      <c r="G42" s="142"/>
    </row>
    <row r="43" spans="1:7" s="99" customFormat="1" ht="30" customHeight="1" thickBot="1" x14ac:dyDescent="0.25">
      <c r="A43" s="1200"/>
      <c r="B43" s="1160" t="s">
        <v>1499</v>
      </c>
      <c r="C43" s="1144" t="s">
        <v>1498</v>
      </c>
      <c r="D43" s="119">
        <v>75958</v>
      </c>
      <c r="E43" s="119">
        <v>101096</v>
      </c>
      <c r="F43" s="1212">
        <v>0</v>
      </c>
      <c r="G43" s="142"/>
    </row>
    <row r="44" spans="1:7" s="99" customFormat="1" ht="15" hidden="1" customHeight="1" thickBot="1" x14ac:dyDescent="0.3">
      <c r="A44" s="116"/>
      <c r="B44" s="117"/>
      <c r="C44" s="2" t="s">
        <v>542</v>
      </c>
      <c r="D44" s="119"/>
      <c r="E44" s="119"/>
      <c r="F44" s="119"/>
      <c r="G44" s="142"/>
    </row>
    <row r="45" spans="1:7" s="99" customFormat="1" ht="15" customHeight="1" thickBot="1" x14ac:dyDescent="0.25">
      <c r="A45" s="150" t="s">
        <v>38</v>
      </c>
      <c r="B45" s="151"/>
      <c r="C45" s="354" t="s">
        <v>510</v>
      </c>
      <c r="D45" s="152">
        <f>SUM(D8,D19,D28,D32,D33,D43)</f>
        <v>97604</v>
      </c>
      <c r="E45" s="152">
        <f>SUM(E8,E19,E28,E32,E33,E43)</f>
        <v>126223</v>
      </c>
      <c r="F45" s="152">
        <f>SUM(F8,F19,F28,F32,F33,F40)</f>
        <v>0</v>
      </c>
      <c r="G45" s="119"/>
    </row>
    <row r="46" spans="1:7" s="99" customFormat="1" ht="15" customHeight="1" thickBot="1" x14ac:dyDescent="0.25">
      <c r="A46" s="336"/>
      <c r="B46" s="336"/>
      <c r="C46" s="355"/>
      <c r="D46" s="388"/>
      <c r="E46" s="388"/>
      <c r="F46" s="388"/>
      <c r="G46" s="119"/>
    </row>
    <row r="47" spans="1:7" s="99" customFormat="1" ht="15" customHeight="1" thickBot="1" x14ac:dyDescent="0.25">
      <c r="A47" s="150"/>
      <c r="B47" s="151"/>
      <c r="C47" s="387" t="s">
        <v>82</v>
      </c>
      <c r="D47" s="152"/>
      <c r="E47" s="152"/>
      <c r="F47" s="152"/>
      <c r="G47" s="152" t="e">
        <f>F47/E47*100</f>
        <v>#DIV/0!</v>
      </c>
    </row>
    <row r="48" spans="1:7" s="99" customFormat="1" ht="15" customHeight="1" thickBot="1" x14ac:dyDescent="0.25">
      <c r="A48" s="1198" t="s">
        <v>2</v>
      </c>
      <c r="B48" s="2"/>
      <c r="C48" s="1156" t="s">
        <v>49</v>
      </c>
      <c r="D48" s="141">
        <f>SUM(D49:D53)</f>
        <v>97604</v>
      </c>
      <c r="E48" s="141">
        <f>SUM(E49:E54)</f>
        <v>124247</v>
      </c>
      <c r="F48" s="141">
        <f>SUM(F49:F54)</f>
        <v>0</v>
      </c>
      <c r="G48" s="132"/>
    </row>
    <row r="49" spans="1:7" s="99" customFormat="1" ht="15" customHeight="1" thickBot="1" x14ac:dyDescent="0.25">
      <c r="A49" s="113"/>
      <c r="B49" s="1165" t="s">
        <v>50</v>
      </c>
      <c r="C49" s="7" t="s">
        <v>51</v>
      </c>
      <c r="D49" s="147">
        <v>28809</v>
      </c>
      <c r="E49" s="147">
        <v>29630</v>
      </c>
      <c r="F49" s="147">
        <v>0</v>
      </c>
      <c r="G49" s="136"/>
    </row>
    <row r="50" spans="1:7" s="99" customFormat="1" ht="15" customHeight="1" thickBot="1" x14ac:dyDescent="0.25">
      <c r="A50" s="97"/>
      <c r="B50" s="1166" t="s">
        <v>52</v>
      </c>
      <c r="C50" s="3" t="s">
        <v>53</v>
      </c>
      <c r="D50" s="142">
        <v>7733</v>
      </c>
      <c r="E50" s="142">
        <v>8019</v>
      </c>
      <c r="F50" s="142">
        <v>0</v>
      </c>
      <c r="G50" s="356"/>
    </row>
    <row r="51" spans="1:7" ht="15" x14ac:dyDescent="0.2">
      <c r="A51" s="97"/>
      <c r="B51" s="1166" t="s">
        <v>54</v>
      </c>
      <c r="C51" s="3" t="s">
        <v>55</v>
      </c>
      <c r="D51" s="768">
        <v>61062</v>
      </c>
      <c r="E51" s="768">
        <v>85562</v>
      </c>
      <c r="F51" s="768">
        <v>0</v>
      </c>
    </row>
    <row r="52" spans="1:7" ht="15" x14ac:dyDescent="0.2">
      <c r="A52" s="97"/>
      <c r="B52" s="1166" t="s">
        <v>56</v>
      </c>
      <c r="C52" s="3" t="s">
        <v>57</v>
      </c>
      <c r="D52" s="142"/>
      <c r="E52" s="142"/>
      <c r="F52" s="142">
        <v>0</v>
      </c>
    </row>
    <row r="53" spans="1:7" ht="15.75" thickBot="1" x14ac:dyDescent="0.25">
      <c r="A53" s="97"/>
      <c r="B53" s="1166" t="s">
        <v>227</v>
      </c>
      <c r="C53" s="3" t="s">
        <v>59</v>
      </c>
      <c r="D53" s="142">
        <v>0</v>
      </c>
      <c r="E53" s="142">
        <v>0</v>
      </c>
      <c r="F53" s="142">
        <v>0</v>
      </c>
    </row>
    <row r="54" spans="1:7" ht="15.75" hidden="1" thickBot="1" x14ac:dyDescent="0.25">
      <c r="A54" s="97"/>
      <c r="B54" s="109" t="s">
        <v>132</v>
      </c>
      <c r="C54" s="3" t="s">
        <v>72</v>
      </c>
      <c r="D54" s="142">
        <v>0</v>
      </c>
      <c r="E54" s="142">
        <v>1036</v>
      </c>
      <c r="F54" s="142">
        <v>0</v>
      </c>
    </row>
    <row r="55" spans="1:7" ht="15.75" thickBot="1" x14ac:dyDescent="0.25">
      <c r="A55" s="1198" t="s">
        <v>3</v>
      </c>
      <c r="B55" s="2"/>
      <c r="C55" s="1156" t="s">
        <v>1513</v>
      </c>
      <c r="D55" s="141">
        <f>SUM(D56:D60)</f>
        <v>0</v>
      </c>
      <c r="E55" s="141">
        <f t="shared" ref="E55:F55" si="3">SUM(E56:E60)</f>
        <v>1976</v>
      </c>
      <c r="F55" s="141">
        <f t="shared" si="3"/>
        <v>0</v>
      </c>
    </row>
    <row r="56" spans="1:7" ht="15" x14ac:dyDescent="0.2">
      <c r="A56" s="113"/>
      <c r="B56" s="1165" t="s">
        <v>4</v>
      </c>
      <c r="C56" s="1151" t="s">
        <v>1173</v>
      </c>
      <c r="D56" s="147">
        <v>0</v>
      </c>
      <c r="E56" s="147">
        <v>1976</v>
      </c>
      <c r="F56" s="147">
        <v>0</v>
      </c>
    </row>
    <row r="57" spans="1:7" ht="15" x14ac:dyDescent="0.2">
      <c r="A57" s="97"/>
      <c r="B57" s="1166" t="s">
        <v>6</v>
      </c>
      <c r="C57" s="1144" t="s">
        <v>64</v>
      </c>
      <c r="D57" s="142">
        <v>0</v>
      </c>
      <c r="E57" s="142">
        <v>0</v>
      </c>
      <c r="F57" s="142">
        <v>0</v>
      </c>
    </row>
    <row r="58" spans="1:7" ht="15.75" thickBot="1" x14ac:dyDescent="0.25">
      <c r="A58" s="97"/>
      <c r="B58" s="1166" t="s">
        <v>7</v>
      </c>
      <c r="C58" s="1144" t="s">
        <v>1500</v>
      </c>
      <c r="D58" s="1212"/>
      <c r="E58" s="1212"/>
      <c r="F58" s="1212">
        <v>0</v>
      </c>
    </row>
    <row r="59" spans="1:7" ht="30" hidden="1" x14ac:dyDescent="0.2">
      <c r="A59" s="97"/>
      <c r="B59" s="109" t="s">
        <v>9</v>
      </c>
      <c r="C59" s="3" t="s">
        <v>65</v>
      </c>
      <c r="D59" s="142">
        <v>0</v>
      </c>
      <c r="E59" s="142">
        <v>0</v>
      </c>
      <c r="F59" s="142">
        <v>0</v>
      </c>
    </row>
    <row r="60" spans="1:7" ht="15.75" hidden="1" thickBot="1" x14ac:dyDescent="0.25">
      <c r="A60" s="97"/>
      <c r="B60" s="109" t="s">
        <v>11</v>
      </c>
      <c r="C60" s="3" t="s">
        <v>513</v>
      </c>
      <c r="D60" s="142">
        <v>0</v>
      </c>
      <c r="E60" s="142">
        <v>0</v>
      </c>
      <c r="F60" s="142">
        <v>0</v>
      </c>
    </row>
    <row r="61" spans="1:7" ht="15" hidden="1" thickBot="1" x14ac:dyDescent="0.25">
      <c r="A61" s="1198" t="s">
        <v>12</v>
      </c>
      <c r="B61" s="2"/>
      <c r="C61" s="10" t="s">
        <v>514</v>
      </c>
      <c r="D61" s="119">
        <v>0</v>
      </c>
      <c r="E61" s="119">
        <v>0</v>
      </c>
      <c r="F61" s="119">
        <v>0</v>
      </c>
    </row>
    <row r="62" spans="1:7" ht="15" hidden="1" thickBot="1" x14ac:dyDescent="0.25">
      <c r="A62" s="1198"/>
      <c r="B62" s="2"/>
      <c r="C62" s="10" t="s">
        <v>515</v>
      </c>
      <c r="D62" s="119"/>
      <c r="E62" s="119"/>
      <c r="F62" s="119"/>
    </row>
    <row r="63" spans="1:7" ht="16.5" thickBot="1" x14ac:dyDescent="0.25">
      <c r="A63" s="150" t="s">
        <v>12</v>
      </c>
      <c r="B63" s="151"/>
      <c r="C63" s="354" t="s">
        <v>1501</v>
      </c>
      <c r="D63" s="152">
        <f>+D48+D55+D61</f>
        <v>97604</v>
      </c>
      <c r="E63" s="152">
        <f t="shared" ref="E63" si="4">+E48+E55+E61</f>
        <v>126223</v>
      </c>
      <c r="F63" s="152">
        <f>+F48+F55+F61+F62</f>
        <v>0</v>
      </c>
    </row>
    <row r="64" spans="1:7" ht="15.75" thickBot="1" x14ac:dyDescent="0.25">
      <c r="A64" s="131"/>
      <c r="B64" s="132"/>
      <c r="C64" s="132"/>
      <c r="D64" s="132"/>
      <c r="E64" s="132"/>
      <c r="F64" s="132"/>
    </row>
    <row r="65" spans="1:6" ht="15.75" thickBot="1" x14ac:dyDescent="0.25">
      <c r="A65" s="133" t="s">
        <v>136</v>
      </c>
      <c r="B65" s="134"/>
      <c r="C65" s="135"/>
      <c r="D65" s="136">
        <v>14</v>
      </c>
      <c r="E65" s="136">
        <v>14</v>
      </c>
      <c r="F65" s="136"/>
    </row>
    <row r="66" spans="1:6" ht="15.75" thickBot="1" x14ac:dyDescent="0.25">
      <c r="A66" s="133" t="s">
        <v>137</v>
      </c>
      <c r="B66" s="134"/>
      <c r="C66" s="135"/>
      <c r="D66" s="356"/>
      <c r="E66" s="356"/>
      <c r="F6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31496062992125984" right="0.27559055118110237" top="0.51181102362204722" bottom="0.35433070866141736" header="0.51181102362204722" footer="0.15748031496062992"/>
  <pageSetup paperSize="9" scale="86" firstPageNumber="78" orientation="portrait" r:id="rId1"/>
  <headerFooter alignWithMargins="0">
    <oddFooter>&amp;C- &amp;P -</oddFooter>
  </headerFooter>
  <rowBreaks count="1" manualBreakCount="1">
    <brk id="45" max="6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view="pageBreakPreview" zoomScaleNormal="130" workbookViewId="0">
      <selection activeCell="B40" sqref="B40:C4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4.6640625" style="76" hidden="1" customWidth="1"/>
    <col min="5" max="5" width="13.33203125" style="76" hidden="1" customWidth="1"/>
    <col min="6" max="6" width="19.5" style="76" customWidth="1"/>
    <col min="7" max="7" width="9.83203125" style="76" hidden="1" customWidth="1"/>
    <col min="8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561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568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x14ac:dyDescent="0.2">
      <c r="A3" s="1554" t="s">
        <v>122</v>
      </c>
      <c r="B3" s="1554"/>
      <c r="C3" s="80" t="s">
        <v>569</v>
      </c>
      <c r="D3" s="1524"/>
      <c r="E3" s="327"/>
      <c r="F3" s="1524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7.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685</v>
      </c>
      <c r="E8" s="141">
        <f>SUM(E9:E18)</f>
        <v>685</v>
      </c>
      <c r="F8" s="141">
        <f>SUM(F9:F18)</f>
        <v>670</v>
      </c>
      <c r="G8" s="141">
        <f>F8/E8*100</f>
        <v>97.810218978102199</v>
      </c>
    </row>
    <row r="9" spans="1:7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485</v>
      </c>
      <c r="E10" s="142">
        <v>485</v>
      </c>
      <c r="F10" s="142">
        <v>470</v>
      </c>
      <c r="G10" s="142">
        <f>F10/E10*100</f>
        <v>96.907216494845358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</v>
      </c>
      <c r="E11" s="142">
        <v>200</v>
      </c>
      <c r="F11" s="142">
        <v>200</v>
      </c>
      <c r="G11" s="142">
        <f>F11/E11*100</f>
        <v>100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x14ac:dyDescent="0.2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1.5" customHeight="1" x14ac:dyDescent="0.2">
      <c r="A19" s="93" t="s">
        <v>3</v>
      </c>
      <c r="B19" s="94"/>
      <c r="C19" s="1142" t="s">
        <v>1482</v>
      </c>
      <c r="D19" s="141">
        <f>SUM(D20:D25)</f>
        <v>11613</v>
      </c>
      <c r="E19" s="141">
        <f t="shared" ref="E19:F19" si="0">SUM(E20:E25)</f>
        <v>12461</v>
      </c>
      <c r="F19" s="141">
        <f t="shared" si="0"/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12062</v>
      </c>
      <c r="F20" s="142"/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399</v>
      </c>
      <c r="F22" s="142"/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/>
      <c r="G23" s="142"/>
    </row>
    <row r="24" spans="1:7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43"/>
      <c r="E26" s="143"/>
      <c r="F26" s="143"/>
      <c r="G26" s="143"/>
    </row>
    <row r="27" spans="1:7" s="99" customFormat="1" ht="15" customHeight="1" thickBot="1" x14ac:dyDescent="0.25">
      <c r="A27" s="1208"/>
      <c r="B27" s="1148" t="s">
        <v>13</v>
      </c>
      <c r="C27" s="1144" t="s">
        <v>1488</v>
      </c>
      <c r="D27" s="143"/>
      <c r="E27" s="143"/>
      <c r="F27" s="143"/>
      <c r="G27" s="143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19">
        <v>0</v>
      </c>
      <c r="E28" s="119">
        <v>0</v>
      </c>
      <c r="F28" s="119">
        <v>0</v>
      </c>
      <c r="G28" s="119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30.7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1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1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1">+E37+E38</f>
        <v>67</v>
      </c>
      <c r="F36" s="148">
        <f>SUM(F37:F39)</f>
        <v>31530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67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19426</v>
      </c>
      <c r="E39" s="119">
        <v>20644</v>
      </c>
      <c r="F39" s="1188">
        <f>SUM(F40:F41)</f>
        <v>31530</v>
      </c>
      <c r="G39" s="119">
        <f>F39/E39*100</f>
        <v>152.73202867661306</v>
      </c>
      <c r="I39" s="110">
        <f>SUM(F55-F42)</f>
        <v>0</v>
      </c>
    </row>
    <row r="40" spans="1:9" s="99" customFormat="1" ht="15" customHeight="1" thickBot="1" x14ac:dyDescent="0.25">
      <c r="A40" s="1408"/>
      <c r="B40" s="1409" t="s">
        <v>1777</v>
      </c>
      <c r="C40" s="1410" t="s">
        <v>1775</v>
      </c>
      <c r="D40" s="1224"/>
      <c r="E40" s="1224"/>
      <c r="F40" s="1411">
        <v>11627</v>
      </c>
      <c r="G40" s="1224"/>
      <c r="I40" s="110"/>
    </row>
    <row r="41" spans="1:9" s="99" customFormat="1" ht="15" customHeight="1" thickBot="1" x14ac:dyDescent="0.25">
      <c r="A41" s="1408"/>
      <c r="B41" s="1409" t="s">
        <v>1778</v>
      </c>
      <c r="C41" s="1410" t="s">
        <v>1776</v>
      </c>
      <c r="D41" s="1224"/>
      <c r="E41" s="1224"/>
      <c r="F41" s="1411">
        <v>19903</v>
      </c>
      <c r="G41" s="1224"/>
      <c r="I41" s="110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SUM(D8,D19,D28,D32,D36,D39)</f>
        <v>31724</v>
      </c>
      <c r="E42" s="152">
        <f>SUM(E8,E19,E28,E32,E36,E39)</f>
        <v>33857</v>
      </c>
      <c r="F42" s="152">
        <f>SUM(F8,F19,F28,F32,F36)</f>
        <v>32200</v>
      </c>
      <c r="G42" s="152">
        <f>F42/E42*100</f>
        <v>95.105886522727943</v>
      </c>
      <c r="I42" s="110"/>
    </row>
    <row r="43" spans="1:9" s="99" customFormat="1" ht="15" customHeight="1" x14ac:dyDescent="0.2">
      <c r="A43" s="336"/>
      <c r="B43" s="336"/>
      <c r="C43" s="355"/>
      <c r="D43" s="388"/>
      <c r="E43" s="388"/>
      <c r="F43" s="388"/>
      <c r="G43" s="388"/>
    </row>
    <row r="44" spans="1:9" s="411" customFormat="1" ht="15" customHeight="1" x14ac:dyDescent="0.2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x14ac:dyDescent="0.2">
      <c r="A45" s="93" t="s">
        <v>2</v>
      </c>
      <c r="B45" s="2"/>
      <c r="C45" s="10" t="s">
        <v>49</v>
      </c>
      <c r="D45" s="141">
        <f>SUM(D46:D50)</f>
        <v>31724</v>
      </c>
      <c r="E45" s="141">
        <f t="shared" ref="E45:F45" si="2">SUM(E46:E50)</f>
        <v>33253</v>
      </c>
      <c r="F45" s="141">
        <f t="shared" si="2"/>
        <v>30740</v>
      </c>
      <c r="G45" s="141">
        <f>F45/E45*100</f>
        <v>92.442787116951848</v>
      </c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14740</v>
      </c>
      <c r="E46" s="147">
        <v>15580</v>
      </c>
      <c r="F46" s="147">
        <v>15100</v>
      </c>
      <c r="G46" s="147">
        <f>F46/E46*100</f>
        <v>96.919127086007705</v>
      </c>
    </row>
    <row r="47" spans="1:9" s="99" customFormat="1" ht="15" customHeight="1" x14ac:dyDescent="0.2">
      <c r="A47" s="97"/>
      <c r="B47" s="109" t="s">
        <v>52</v>
      </c>
      <c r="C47" s="3" t="s">
        <v>53</v>
      </c>
      <c r="D47" s="142">
        <v>3918</v>
      </c>
      <c r="E47" s="142">
        <v>4145</v>
      </c>
      <c r="F47" s="142">
        <v>4118</v>
      </c>
      <c r="G47" s="142">
        <f>F47/E47*100</f>
        <v>99.348612786489738</v>
      </c>
    </row>
    <row r="48" spans="1:9" s="99" customFormat="1" ht="15" customHeight="1" x14ac:dyDescent="0.2">
      <c r="A48" s="97"/>
      <c r="B48" s="109" t="s">
        <v>54</v>
      </c>
      <c r="C48" s="3" t="s">
        <v>55</v>
      </c>
      <c r="D48" s="768">
        <v>13066</v>
      </c>
      <c r="E48" s="768">
        <v>13528</v>
      </c>
      <c r="F48" s="768">
        <v>11522</v>
      </c>
      <c r="G48" s="142">
        <f>F48/E48*100</f>
        <v>85.171496156120639</v>
      </c>
    </row>
    <row r="49" spans="1:7" s="99" customFormat="1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</row>
    <row r="50" spans="1:7" s="99" customFormat="1" ht="15" customHeight="1" x14ac:dyDescent="0.2">
      <c r="A50" s="97"/>
      <c r="B50" s="109" t="s">
        <v>58</v>
      </c>
      <c r="C50" s="3" t="s">
        <v>59</v>
      </c>
      <c r="D50" s="142"/>
      <c r="E50" s="142"/>
      <c r="F50" s="142"/>
      <c r="G50" s="142"/>
    </row>
    <row r="51" spans="1:7" s="99" customFormat="1" ht="15" customHeight="1" x14ac:dyDescent="0.2">
      <c r="A51" s="93" t="s">
        <v>3</v>
      </c>
      <c r="B51" s="2"/>
      <c r="C51" s="1156" t="s">
        <v>1513</v>
      </c>
      <c r="D51" s="141">
        <f>SUM(D52:D54)</f>
        <v>0</v>
      </c>
      <c r="E51" s="141">
        <f>SUM(E52:E54)</f>
        <v>604</v>
      </c>
      <c r="F51" s="141">
        <f>SUM(F52:F54)</f>
        <v>1460</v>
      </c>
      <c r="G51" s="141"/>
    </row>
    <row r="52" spans="1:7" s="96" customFormat="1" ht="15" customHeight="1" x14ac:dyDescent="0.2">
      <c r="A52" s="113"/>
      <c r="B52" s="1165" t="s">
        <v>4</v>
      </c>
      <c r="C52" s="1151" t="s">
        <v>1173</v>
      </c>
      <c r="D52" s="147">
        <v>0</v>
      </c>
      <c r="E52" s="147">
        <v>604</v>
      </c>
      <c r="F52" s="147">
        <v>1460</v>
      </c>
      <c r="G52" s="147"/>
    </row>
    <row r="53" spans="1:7" s="99" customFormat="1" ht="15" customHeight="1" x14ac:dyDescent="0.2">
      <c r="A53" s="97"/>
      <c r="B53" s="1166" t="s">
        <v>6</v>
      </c>
      <c r="C53" s="1144" t="s">
        <v>64</v>
      </c>
      <c r="D53" s="142">
        <v>0</v>
      </c>
      <c r="E53" s="142">
        <v>0</v>
      </c>
      <c r="F53" s="142">
        <v>0</v>
      </c>
      <c r="G53" s="142"/>
    </row>
    <row r="54" spans="1:7" s="99" customFormat="1" ht="30" customHeight="1" thickBot="1" x14ac:dyDescent="0.25">
      <c r="A54" s="97"/>
      <c r="B54" s="1166" t="s">
        <v>7</v>
      </c>
      <c r="C54" s="1144" t="s">
        <v>1500</v>
      </c>
      <c r="D54" s="142">
        <v>0</v>
      </c>
      <c r="E54" s="142">
        <v>0</v>
      </c>
      <c r="F54" s="142">
        <v>0</v>
      </c>
      <c r="G54" s="142"/>
    </row>
    <row r="55" spans="1:7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+D45+D51+#REF!</f>
        <v>#REF!</v>
      </c>
      <c r="E55" s="152" t="e">
        <f>+E45+E51+#REF!</f>
        <v>#REF!</v>
      </c>
      <c r="F55" s="152">
        <f>+F45+F51</f>
        <v>32200</v>
      </c>
      <c r="G55" s="152" t="e">
        <f>F55/E55*100</f>
        <v>#REF!</v>
      </c>
    </row>
    <row r="56" spans="1:7" s="99" customFormat="1" ht="15" customHeight="1" x14ac:dyDescent="0.2">
      <c r="A56" s="131"/>
      <c r="B56" s="132"/>
      <c r="C56" s="132"/>
      <c r="D56" s="132"/>
      <c r="E56" s="132"/>
      <c r="F56" s="132"/>
      <c r="G56" s="132"/>
    </row>
    <row r="57" spans="1:7" s="99" customFormat="1" ht="15" customHeight="1" x14ac:dyDescent="0.2">
      <c r="A57" s="133" t="s">
        <v>136</v>
      </c>
      <c r="B57" s="134"/>
      <c r="C57" s="135"/>
      <c r="D57" s="136">
        <v>6</v>
      </c>
      <c r="E57" s="136">
        <v>6</v>
      </c>
      <c r="F57" s="136">
        <v>6</v>
      </c>
      <c r="G57" s="136"/>
    </row>
    <row r="58" spans="1:7" s="99" customFormat="1" ht="15" customHeight="1" x14ac:dyDescent="0.2">
      <c r="A58" s="133" t="s">
        <v>137</v>
      </c>
      <c r="B58" s="134"/>
      <c r="C58" s="135"/>
      <c r="D58" s="356"/>
      <c r="E58" s="356"/>
      <c r="F58" s="356"/>
      <c r="G58" s="356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27559055118110237" right="0.23622047244094491" top="0.35433070866141736" bottom="0.43307086614173229" header="0.15748031496062992" footer="0.15748031496062992"/>
  <pageSetup paperSize="9" scale="82" firstPageNumber="78" orientation="portrait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4.6640625" style="76" hidden="1" customWidth="1"/>
    <col min="5" max="5" width="13.33203125" style="76" hidden="1" customWidth="1"/>
    <col min="6" max="6" width="19.5" style="76" customWidth="1"/>
    <col min="7" max="7" width="9.832031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1818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568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1540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7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685</v>
      </c>
      <c r="E8" s="141">
        <f>SUM(E9:E18)</f>
        <v>685</v>
      </c>
      <c r="F8" s="141">
        <f>SUM(F9:F18)</f>
        <v>670</v>
      </c>
      <c r="G8" s="141">
        <f>F8/E8*100</f>
        <v>97.810218978102199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2">
        <f>SUM('5.8. sz. mell.'!F9)</f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485</v>
      </c>
      <c r="E10" s="142">
        <v>485</v>
      </c>
      <c r="F10" s="142">
        <f>SUM('5.8. sz. mell.'!F10)</f>
        <v>470</v>
      </c>
      <c r="G10" s="142">
        <f>F10/E10*100</f>
        <v>96.907216494845358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</v>
      </c>
      <c r="E11" s="142">
        <v>200</v>
      </c>
      <c r="F11" s="142">
        <f>SUM('5.8. sz. mell.'!F11)</f>
        <v>200</v>
      </c>
      <c r="G11" s="142">
        <f>F11/E11*100</f>
        <v>100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>
        <f>SUM('5.8. sz. mell.'!F12)</f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>
        <f>SUM('5.8. sz. mell.'!F13)</f>
        <v>0</v>
      </c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2">
        <f>SUM('5.8. sz. mell.'!F14)</f>
        <v>0</v>
      </c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>
        <f>SUM('5.8. sz. mell.'!F15)</f>
        <v>0</v>
      </c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23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23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2">
        <f>SUM('5.8. sz. mell.'!F18)</f>
        <v>0</v>
      </c>
      <c r="G18" s="145"/>
    </row>
    <row r="19" spans="1:7" s="96" customFormat="1" ht="33.75" customHeight="1" thickBot="1" x14ac:dyDescent="0.25">
      <c r="A19" s="1132" t="s">
        <v>3</v>
      </c>
      <c r="B19" s="94"/>
      <c r="C19" s="1142" t="s">
        <v>1482</v>
      </c>
      <c r="D19" s="141">
        <f>SUM(D20:D25)</f>
        <v>11613</v>
      </c>
      <c r="E19" s="141">
        <f t="shared" ref="E19:F19" si="0">SUM(E20:E25)</f>
        <v>12461</v>
      </c>
      <c r="F19" s="141">
        <f t="shared" si="0"/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12062</v>
      </c>
      <c r="F20" s="142">
        <f>SUM('5.8. sz. mell.'!F20)</f>
        <v>0</v>
      </c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399</v>
      </c>
      <c r="F22" s="142">
        <f>SUM('5.8. sz. mell.'!F22)</f>
        <v>0</v>
      </c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f>SUM('5.8. sz. mell.'!F23)</f>
        <v>0</v>
      </c>
      <c r="G23" s="142"/>
    </row>
    <row r="24" spans="1:7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f>SUM('5.8. sz. mell.'!F25)</f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30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1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29.2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1">+E37+E38</f>
        <v>67</v>
      </c>
      <c r="F36" s="148">
        <f>SUM(F37:F39)</f>
        <v>31530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67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19426</v>
      </c>
      <c r="E39" s="119">
        <v>20644</v>
      </c>
      <c r="F39" s="1315">
        <f>SUM(F40:F41)</f>
        <v>31530</v>
      </c>
      <c r="G39" s="119">
        <f>F39/E39*100</f>
        <v>152.73202867661306</v>
      </c>
      <c r="I39" s="110">
        <f>SUM(F55-F42)</f>
        <v>0</v>
      </c>
    </row>
    <row r="40" spans="1:9" s="99" customFormat="1" ht="15" customHeight="1" thickBot="1" x14ac:dyDescent="0.25">
      <c r="A40" s="1408"/>
      <c r="B40" s="1409" t="s">
        <v>1777</v>
      </c>
      <c r="C40" s="1410" t="s">
        <v>1775</v>
      </c>
      <c r="D40" s="1224"/>
      <c r="E40" s="1224"/>
      <c r="F40" s="1411">
        <v>11627</v>
      </c>
      <c r="G40" s="1224"/>
      <c r="I40" s="110"/>
    </row>
    <row r="41" spans="1:9" s="99" customFormat="1" ht="15" customHeight="1" thickBot="1" x14ac:dyDescent="0.25">
      <c r="A41" s="1408"/>
      <c r="B41" s="1409" t="s">
        <v>1778</v>
      </c>
      <c r="C41" s="1410" t="s">
        <v>1776</v>
      </c>
      <c r="D41" s="1224"/>
      <c r="E41" s="1224"/>
      <c r="F41" s="1411">
        <v>19903</v>
      </c>
      <c r="G41" s="1224"/>
      <c r="I41" s="110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SUM(D8,D19,D26,D32,D36,D39)</f>
        <v>31724</v>
      </c>
      <c r="E42" s="152">
        <f>SUM(E8,E19,E26,E32,E36,E39)</f>
        <v>33857</v>
      </c>
      <c r="F42" s="152">
        <f>SUM(F8,F19,F26,F32,F36)</f>
        <v>32200</v>
      </c>
      <c r="G42" s="152">
        <f>F42/E42*100</f>
        <v>95.105886522727943</v>
      </c>
      <c r="I42" s="110"/>
    </row>
    <row r="43" spans="1:9" s="99" customFormat="1" ht="15" customHeight="1" thickBot="1" x14ac:dyDescent="0.25">
      <c r="A43" s="336"/>
      <c r="B43" s="336"/>
      <c r="C43" s="355"/>
      <c r="D43" s="388"/>
      <c r="E43" s="388"/>
      <c r="F43" s="388"/>
      <c r="G43" s="388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0" t="s">
        <v>49</v>
      </c>
      <c r="D45" s="141">
        <f>SUM(D46:D50)</f>
        <v>31724</v>
      </c>
      <c r="E45" s="141">
        <f t="shared" ref="E45:F45" si="2">SUM(E46:E50)</f>
        <v>33253</v>
      </c>
      <c r="F45" s="141">
        <f t="shared" si="2"/>
        <v>30740</v>
      </c>
      <c r="G45" s="141">
        <f>F45/E45*100</f>
        <v>92.442787116951848</v>
      </c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14740</v>
      </c>
      <c r="E46" s="147">
        <v>15580</v>
      </c>
      <c r="F46" s="142">
        <f>SUM('5.8. sz. mell.'!F46)</f>
        <v>15100</v>
      </c>
      <c r="G46" s="147">
        <f>F46/E46*100</f>
        <v>96.919127086007705</v>
      </c>
    </row>
    <row r="47" spans="1:9" s="99" customFormat="1" ht="15" customHeight="1" x14ac:dyDescent="0.2">
      <c r="A47" s="97"/>
      <c r="B47" s="109" t="s">
        <v>52</v>
      </c>
      <c r="C47" s="3" t="s">
        <v>53</v>
      </c>
      <c r="D47" s="142">
        <v>3918</v>
      </c>
      <c r="E47" s="142">
        <v>4145</v>
      </c>
      <c r="F47" s="142">
        <f>SUM('5.8. sz. mell.'!F47)</f>
        <v>4118</v>
      </c>
      <c r="G47" s="142">
        <f>F47/E47*100</f>
        <v>99.348612786489738</v>
      </c>
    </row>
    <row r="48" spans="1:9" s="99" customFormat="1" ht="15" customHeight="1" x14ac:dyDescent="0.2">
      <c r="A48" s="97"/>
      <c r="B48" s="109" t="s">
        <v>54</v>
      </c>
      <c r="C48" s="3" t="s">
        <v>55</v>
      </c>
      <c r="D48" s="768">
        <v>13066</v>
      </c>
      <c r="E48" s="768">
        <v>13528</v>
      </c>
      <c r="F48" s="142">
        <f>SUM('5.8. sz. mell.'!F48)</f>
        <v>11522</v>
      </c>
      <c r="G48" s="142">
        <f>F48/E48*100</f>
        <v>85.171496156120639</v>
      </c>
    </row>
    <row r="49" spans="1:7" s="99" customFormat="1" ht="15" customHeight="1" x14ac:dyDescent="0.2">
      <c r="A49" s="97"/>
      <c r="B49" s="109" t="s">
        <v>56</v>
      </c>
      <c r="C49" s="3" t="s">
        <v>57</v>
      </c>
      <c r="D49" s="142"/>
      <c r="E49" s="142"/>
      <c r="F49" s="142">
        <f>SUM('5.8. sz. mell.'!F49)</f>
        <v>0</v>
      </c>
      <c r="G49" s="142"/>
    </row>
    <row r="50" spans="1:7" s="99" customFormat="1" ht="15" customHeight="1" thickBot="1" x14ac:dyDescent="0.25">
      <c r="A50" s="97"/>
      <c r="B50" s="109" t="s">
        <v>58</v>
      </c>
      <c r="C50" s="3" t="s">
        <v>59</v>
      </c>
      <c r="D50" s="142"/>
      <c r="E50" s="142"/>
      <c r="F50" s="142">
        <f>SUM('5.8. sz. mell.'!F50)</f>
        <v>0</v>
      </c>
      <c r="G50" s="142"/>
    </row>
    <row r="51" spans="1:7" s="99" customFormat="1" ht="15" customHeight="1" thickBot="1" x14ac:dyDescent="0.25">
      <c r="A51" s="1132" t="s">
        <v>3</v>
      </c>
      <c r="B51" s="2"/>
      <c r="C51" s="1156" t="s">
        <v>1513</v>
      </c>
      <c r="D51" s="141">
        <f>SUM(D52:D54)</f>
        <v>0</v>
      </c>
      <c r="E51" s="141">
        <f>SUM(E52:E54)</f>
        <v>604</v>
      </c>
      <c r="F51" s="141">
        <f>SUM(F52:F54)</f>
        <v>1460</v>
      </c>
      <c r="G51" s="141"/>
    </row>
    <row r="52" spans="1:7" s="96" customFormat="1" ht="15" customHeight="1" x14ac:dyDescent="0.2">
      <c r="A52" s="113"/>
      <c r="B52" s="1165" t="s">
        <v>4</v>
      </c>
      <c r="C52" s="1151" t="s">
        <v>1173</v>
      </c>
      <c r="D52" s="147">
        <v>0</v>
      </c>
      <c r="E52" s="147">
        <v>604</v>
      </c>
      <c r="F52" s="142">
        <f>SUM('5.8. sz. mell.'!F52)</f>
        <v>1460</v>
      </c>
      <c r="G52" s="147"/>
    </row>
    <row r="53" spans="1:7" s="99" customFormat="1" ht="15" customHeight="1" x14ac:dyDescent="0.2">
      <c r="A53" s="97"/>
      <c r="B53" s="1166" t="s">
        <v>6</v>
      </c>
      <c r="C53" s="1144" t="s">
        <v>64</v>
      </c>
      <c r="D53" s="142">
        <v>0</v>
      </c>
      <c r="E53" s="142">
        <v>0</v>
      </c>
      <c r="F53" s="142">
        <v>0</v>
      </c>
      <c r="G53" s="142"/>
    </row>
    <row r="54" spans="1:7" s="99" customFormat="1" ht="30" customHeight="1" thickBot="1" x14ac:dyDescent="0.25">
      <c r="A54" s="97"/>
      <c r="B54" s="1166" t="s">
        <v>7</v>
      </c>
      <c r="C54" s="1144" t="s">
        <v>1500</v>
      </c>
      <c r="D54" s="142">
        <v>0</v>
      </c>
      <c r="E54" s="142">
        <v>0</v>
      </c>
      <c r="F54" s="142">
        <v>0</v>
      </c>
      <c r="G54" s="142"/>
    </row>
    <row r="55" spans="1:7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+D45+D51+#REF!</f>
        <v>#REF!</v>
      </c>
      <c r="E55" s="152" t="e">
        <f>+E45+E51+#REF!</f>
        <v>#REF!</v>
      </c>
      <c r="F55" s="152">
        <f>+F45+F51</f>
        <v>32200</v>
      </c>
      <c r="G55" s="152" t="e">
        <f>F55/E55*100</f>
        <v>#REF!</v>
      </c>
    </row>
    <row r="56" spans="1:7" s="99" customFormat="1" ht="15" customHeight="1" thickBot="1" x14ac:dyDescent="0.25">
      <c r="A56" s="131"/>
      <c r="B56" s="132"/>
      <c r="C56" s="132"/>
      <c r="D56" s="132"/>
      <c r="E56" s="132"/>
      <c r="F56" s="132"/>
      <c r="G56" s="132"/>
    </row>
    <row r="57" spans="1:7" s="99" customFormat="1" ht="15" customHeight="1" thickBot="1" x14ac:dyDescent="0.25">
      <c r="A57" s="133" t="s">
        <v>136</v>
      </c>
      <c r="B57" s="134"/>
      <c r="C57" s="135"/>
      <c r="D57" s="136">
        <v>6</v>
      </c>
      <c r="E57" s="136">
        <v>6</v>
      </c>
      <c r="F57" s="136"/>
      <c r="G57" s="136"/>
    </row>
    <row r="58" spans="1:7" s="99" customFormat="1" ht="15" customHeight="1" thickBot="1" x14ac:dyDescent="0.25">
      <c r="A58" s="133" t="s">
        <v>137</v>
      </c>
      <c r="B58" s="134"/>
      <c r="C58" s="135"/>
      <c r="D58" s="356"/>
      <c r="E58" s="356"/>
      <c r="F58" s="356"/>
      <c r="G58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3622047244094491" top="0.35433070866141736" bottom="0.43307086614173229" header="0.15748031496062992" footer="0.15748031496062992"/>
  <pageSetup paperSize="9" scale="82" firstPageNumber="78" orientation="portrait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4.6640625" style="76" hidden="1" customWidth="1"/>
    <col min="5" max="5" width="13.33203125" style="76" hidden="1" customWidth="1"/>
    <col min="6" max="6" width="19.5" style="76" customWidth="1"/>
    <col min="7" max="7" width="9.832031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1819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568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1541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7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685</v>
      </c>
      <c r="E8" s="141">
        <f>SUM(E9:E18)</f>
        <v>685</v>
      </c>
      <c r="F8" s="141">
        <f>SUM(F9:F18)</f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485</v>
      </c>
      <c r="E10" s="142">
        <v>485</v>
      </c>
      <c r="F10" s="142"/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</v>
      </c>
      <c r="E11" s="142">
        <v>200</v>
      </c>
      <c r="F11" s="142"/>
      <c r="G11" s="142">
        <f>F11/E11*100</f>
        <v>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2.25" customHeight="1" thickBot="1" x14ac:dyDescent="0.25">
      <c r="A19" s="1132" t="s">
        <v>3</v>
      </c>
      <c r="B19" s="94"/>
      <c r="C19" s="1142" t="s">
        <v>1482</v>
      </c>
      <c r="D19" s="141">
        <f>SUM(D20:D25)</f>
        <v>11613</v>
      </c>
      <c r="E19" s="141">
        <f t="shared" ref="E19:F19" si="0">SUM(E20:E25)</f>
        <v>12461</v>
      </c>
      <c r="F19" s="141">
        <f t="shared" si="0"/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12062</v>
      </c>
      <c r="F20" s="142"/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399</v>
      </c>
      <c r="F22" s="142"/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/>
      <c r="G23" s="142"/>
    </row>
    <row r="24" spans="1:7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29.2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28.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1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1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:F36" si="1">+E37+E38</f>
        <v>67</v>
      </c>
      <c r="F36" s="148">
        <f t="shared" si="1"/>
        <v>0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67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19426</v>
      </c>
      <c r="E39" s="119">
        <v>20644</v>
      </c>
      <c r="F39" s="119"/>
      <c r="G39" s="119">
        <f>F39/E39*100</f>
        <v>0</v>
      </c>
      <c r="I39" s="110">
        <f>SUM(F55-F42)</f>
        <v>0</v>
      </c>
    </row>
    <row r="40" spans="1:9" s="99" customFormat="1" ht="15" customHeight="1" thickBot="1" x14ac:dyDescent="0.25">
      <c r="A40" s="1408"/>
      <c r="B40" s="1409" t="s">
        <v>1777</v>
      </c>
      <c r="C40" s="1410" t="s">
        <v>1775</v>
      </c>
      <c r="D40" s="1224"/>
      <c r="E40" s="1224"/>
      <c r="F40" s="1224"/>
      <c r="G40" s="1224"/>
      <c r="I40" s="110"/>
    </row>
    <row r="41" spans="1:9" s="99" customFormat="1" ht="15" customHeight="1" thickBot="1" x14ac:dyDescent="0.25">
      <c r="A41" s="1408"/>
      <c r="B41" s="1409" t="s">
        <v>1778</v>
      </c>
      <c r="C41" s="1410" t="s">
        <v>1776</v>
      </c>
      <c r="D41" s="1224"/>
      <c r="E41" s="1224"/>
      <c r="F41" s="1224"/>
      <c r="G41" s="1224"/>
      <c r="I41" s="110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SUM(D8,D19,D26,D32,D36,D39)</f>
        <v>31724</v>
      </c>
      <c r="E42" s="152">
        <f>SUM(E8,E19,E26,E32,E36,E39)</f>
        <v>33857</v>
      </c>
      <c r="F42" s="152">
        <f>SUM(F8,F19,F26,F32,F36,F39)</f>
        <v>0</v>
      </c>
      <c r="G42" s="152">
        <f>F42/E42*100</f>
        <v>0</v>
      </c>
      <c r="I42" s="110"/>
    </row>
    <row r="43" spans="1:9" s="99" customFormat="1" ht="15" customHeight="1" thickBot="1" x14ac:dyDescent="0.25">
      <c r="A43" s="336"/>
      <c r="B43" s="336"/>
      <c r="C43" s="355"/>
      <c r="D43" s="388"/>
      <c r="E43" s="388"/>
      <c r="F43" s="388"/>
      <c r="G43" s="388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0" t="s">
        <v>49</v>
      </c>
      <c r="D45" s="141">
        <f>SUM(D46:D50)</f>
        <v>31724</v>
      </c>
      <c r="E45" s="141">
        <f t="shared" ref="E45:F45" si="2">SUM(E46:E50)</f>
        <v>33253</v>
      </c>
      <c r="F45" s="141">
        <f t="shared" si="2"/>
        <v>0</v>
      </c>
      <c r="G45" s="141">
        <f>F45/E45*100</f>
        <v>0</v>
      </c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14740</v>
      </c>
      <c r="E46" s="147">
        <v>15580</v>
      </c>
      <c r="F46" s="147"/>
      <c r="G46" s="147">
        <f>F46/E46*100</f>
        <v>0</v>
      </c>
    </row>
    <row r="47" spans="1:9" s="99" customFormat="1" ht="15" customHeight="1" x14ac:dyDescent="0.2">
      <c r="A47" s="97"/>
      <c r="B47" s="109" t="s">
        <v>52</v>
      </c>
      <c r="C47" s="3" t="s">
        <v>53</v>
      </c>
      <c r="D47" s="142">
        <v>3918</v>
      </c>
      <c r="E47" s="142">
        <v>4145</v>
      </c>
      <c r="F47" s="142"/>
      <c r="G47" s="142">
        <f>F47/E47*100</f>
        <v>0</v>
      </c>
    </row>
    <row r="48" spans="1:9" s="99" customFormat="1" ht="15" customHeight="1" x14ac:dyDescent="0.2">
      <c r="A48" s="97"/>
      <c r="B48" s="109" t="s">
        <v>54</v>
      </c>
      <c r="C48" s="3" t="s">
        <v>55</v>
      </c>
      <c r="D48" s="768">
        <v>13066</v>
      </c>
      <c r="E48" s="768">
        <v>13528</v>
      </c>
      <c r="F48" s="768"/>
      <c r="G48" s="142">
        <f>F48/E48*100</f>
        <v>0</v>
      </c>
    </row>
    <row r="49" spans="1:7" s="99" customFormat="1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</row>
    <row r="50" spans="1:7" s="99" customFormat="1" ht="15" customHeight="1" thickBot="1" x14ac:dyDescent="0.25">
      <c r="A50" s="97"/>
      <c r="B50" s="109" t="s">
        <v>58</v>
      </c>
      <c r="C50" s="3" t="s">
        <v>59</v>
      </c>
      <c r="D50" s="142"/>
      <c r="E50" s="142"/>
      <c r="F50" s="142"/>
      <c r="G50" s="142"/>
    </row>
    <row r="51" spans="1:7" s="99" customFormat="1" ht="15" customHeight="1" thickBot="1" x14ac:dyDescent="0.25">
      <c r="A51" s="1132" t="s">
        <v>3</v>
      </c>
      <c r="B51" s="2"/>
      <c r="C51" s="1156" t="s">
        <v>1513</v>
      </c>
      <c r="D51" s="141">
        <f>SUM(D52:D54)</f>
        <v>0</v>
      </c>
      <c r="E51" s="141">
        <f>SUM(E52:E54)</f>
        <v>604</v>
      </c>
      <c r="F51" s="141">
        <f>SUM(F52:F54)</f>
        <v>0</v>
      </c>
      <c r="G51" s="141"/>
    </row>
    <row r="52" spans="1:7" s="96" customFormat="1" ht="15" customHeight="1" x14ac:dyDescent="0.2">
      <c r="A52" s="113"/>
      <c r="B52" s="1165" t="s">
        <v>4</v>
      </c>
      <c r="C52" s="1151" t="s">
        <v>1173</v>
      </c>
      <c r="D52" s="147">
        <v>0</v>
      </c>
      <c r="E52" s="147">
        <v>604</v>
      </c>
      <c r="F52" s="147"/>
      <c r="G52" s="147"/>
    </row>
    <row r="53" spans="1:7" s="99" customFormat="1" ht="15" customHeight="1" x14ac:dyDescent="0.2">
      <c r="A53" s="97"/>
      <c r="B53" s="1166" t="s">
        <v>6</v>
      </c>
      <c r="C53" s="1144" t="s">
        <v>64</v>
      </c>
      <c r="D53" s="142">
        <v>0</v>
      </c>
      <c r="E53" s="142">
        <v>0</v>
      </c>
      <c r="F53" s="142">
        <v>0</v>
      </c>
      <c r="G53" s="142"/>
    </row>
    <row r="54" spans="1:7" s="99" customFormat="1" ht="30" customHeight="1" thickBot="1" x14ac:dyDescent="0.25">
      <c r="A54" s="97"/>
      <c r="B54" s="1166" t="s">
        <v>7</v>
      </c>
      <c r="C54" s="1144" t="s">
        <v>1500</v>
      </c>
      <c r="D54" s="142">
        <v>0</v>
      </c>
      <c r="E54" s="142">
        <v>0</v>
      </c>
      <c r="F54" s="142">
        <v>0</v>
      </c>
      <c r="G54" s="142"/>
    </row>
    <row r="55" spans="1:7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+D45+D51+#REF!</f>
        <v>#REF!</v>
      </c>
      <c r="E55" s="152" t="e">
        <f>+E45+E51+#REF!</f>
        <v>#REF!</v>
      </c>
      <c r="F55" s="152">
        <f>+F45+F51</f>
        <v>0</v>
      </c>
      <c r="G55" s="152" t="e">
        <f>F55/E55*100</f>
        <v>#REF!</v>
      </c>
    </row>
    <row r="56" spans="1:7" s="99" customFormat="1" ht="15" customHeight="1" thickBot="1" x14ac:dyDescent="0.25">
      <c r="A56" s="131"/>
      <c r="B56" s="132"/>
      <c r="C56" s="132"/>
      <c r="D56" s="132"/>
      <c r="E56" s="132"/>
      <c r="F56" s="132"/>
      <c r="G56" s="132"/>
    </row>
    <row r="57" spans="1:7" s="99" customFormat="1" ht="15" customHeight="1" thickBot="1" x14ac:dyDescent="0.25">
      <c r="A57" s="133" t="s">
        <v>136</v>
      </c>
      <c r="B57" s="134"/>
      <c r="C57" s="135"/>
      <c r="D57" s="136">
        <v>6</v>
      </c>
      <c r="E57" s="136">
        <v>6</v>
      </c>
      <c r="F57" s="136"/>
      <c r="G57" s="136"/>
    </row>
    <row r="58" spans="1:7" s="99" customFormat="1" ht="15" customHeight="1" thickBot="1" x14ac:dyDescent="0.25">
      <c r="A58" s="133" t="s">
        <v>137</v>
      </c>
      <c r="B58" s="134"/>
      <c r="C58" s="135"/>
      <c r="D58" s="356"/>
      <c r="E58" s="356"/>
      <c r="F58" s="356"/>
      <c r="G58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3622047244094491" top="0.35433070866141736" bottom="0.43307086614173229" header="0.15748031496062992" footer="0.15748031496062992"/>
  <pageSetup paperSize="9" scale="82" firstPageNumber="78" orientation="portrait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6"/>
  <sheetViews>
    <sheetView view="pageBreakPreview" zoomScaleNormal="13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5" style="76" customWidth="1"/>
    <col min="4" max="4" width="14.6640625" style="76" hidden="1" customWidth="1"/>
    <col min="5" max="5" width="13.33203125" style="76" hidden="1" customWidth="1"/>
    <col min="6" max="6" width="19.5" style="76" customWidth="1"/>
    <col min="7" max="7" width="9.832031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1820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568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/>
    </row>
    <row r="5" spans="1:7" s="99" customFormat="1" ht="37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1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141">
        <f>SUM(D9:D18)</f>
        <v>685</v>
      </c>
      <c r="E8" s="141">
        <f>SUM(E9:E18)</f>
        <v>685</v>
      </c>
      <c r="F8" s="141">
        <f>SUM(F9:F18)</f>
        <v>0</v>
      </c>
      <c r="G8" s="141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485</v>
      </c>
      <c r="E10" s="142">
        <v>485</v>
      </c>
      <c r="F10" s="142"/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200</v>
      </c>
      <c r="E11" s="142">
        <v>200</v>
      </c>
      <c r="F11" s="142"/>
      <c r="G11" s="142">
        <f>F11/E11*100</f>
        <v>0</v>
      </c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/>
      <c r="E15" s="142"/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29.25" customHeight="1" thickBot="1" x14ac:dyDescent="0.25">
      <c r="A19" s="1132" t="s">
        <v>3</v>
      </c>
      <c r="B19" s="94"/>
      <c r="C19" s="1142" t="s">
        <v>1482</v>
      </c>
      <c r="D19" s="141">
        <f>SUM(D20:D25)</f>
        <v>11613</v>
      </c>
      <c r="E19" s="141">
        <f t="shared" ref="E19:F19" si="0">SUM(E20:E25)</f>
        <v>12461</v>
      </c>
      <c r="F19" s="141">
        <f t="shared" si="0"/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11613</v>
      </c>
      <c r="E20" s="142">
        <v>12062</v>
      </c>
      <c r="F20" s="142"/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399</v>
      </c>
      <c r="F22" s="142"/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/>
      <c r="G23" s="142"/>
    </row>
    <row r="24" spans="1:7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30.7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30.7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1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1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:F36" si="1">+E37+E38</f>
        <v>67</v>
      </c>
      <c r="F36" s="148">
        <f t="shared" si="1"/>
        <v>0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67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19426</v>
      </c>
      <c r="E39" s="119">
        <v>20644</v>
      </c>
      <c r="F39" s="119"/>
      <c r="G39" s="119">
        <f>F39/E39*100</f>
        <v>0</v>
      </c>
      <c r="I39" s="110">
        <f>SUM(F53-F40)</f>
        <v>0</v>
      </c>
    </row>
    <row r="40" spans="1:9" s="99" customFormat="1" ht="15" customHeight="1" thickBot="1" x14ac:dyDescent="0.25">
      <c r="A40" s="150" t="s">
        <v>38</v>
      </c>
      <c r="B40" s="151"/>
      <c r="C40" s="354" t="s">
        <v>510</v>
      </c>
      <c r="D40" s="152">
        <f>SUM(D8,D19,D26,D32,D36,D39)</f>
        <v>31724</v>
      </c>
      <c r="E40" s="152">
        <f>SUM(E8,E19,E26,E32,E36,E39)</f>
        <v>33857</v>
      </c>
      <c r="F40" s="152">
        <f>SUM(F8,F19,F26,F32,F36,F39)</f>
        <v>0</v>
      </c>
      <c r="G40" s="152">
        <f>F40/E40*100</f>
        <v>0</v>
      </c>
      <c r="I40" s="110"/>
    </row>
    <row r="41" spans="1:9" s="99" customFormat="1" ht="15" customHeight="1" thickBot="1" x14ac:dyDescent="0.25">
      <c r="A41" s="336"/>
      <c r="B41" s="336"/>
      <c r="C41" s="355"/>
      <c r="D41" s="388"/>
      <c r="E41" s="388"/>
      <c r="F41" s="388"/>
      <c r="G41" s="388"/>
    </row>
    <row r="42" spans="1:9" s="411" customFormat="1" ht="15" customHeight="1" thickBot="1" x14ac:dyDescent="0.25">
      <c r="A42" s="150"/>
      <c r="B42" s="151"/>
      <c r="C42" s="387" t="s">
        <v>82</v>
      </c>
      <c r="D42" s="152"/>
      <c r="E42" s="152"/>
      <c r="F42" s="152"/>
      <c r="G42" s="152"/>
    </row>
    <row r="43" spans="1:9" s="96" customFormat="1" ht="15" customHeight="1" thickBot="1" x14ac:dyDescent="0.25">
      <c r="A43" s="1132" t="s">
        <v>2</v>
      </c>
      <c r="B43" s="2"/>
      <c r="C43" s="10" t="s">
        <v>49</v>
      </c>
      <c r="D43" s="141">
        <f>SUM(D44:D48)</f>
        <v>31724</v>
      </c>
      <c r="E43" s="141">
        <f t="shared" ref="E43:F43" si="2">SUM(E44:E48)</f>
        <v>33253</v>
      </c>
      <c r="F43" s="141">
        <f t="shared" si="2"/>
        <v>0</v>
      </c>
      <c r="G43" s="141">
        <f>F43/E43*100</f>
        <v>0</v>
      </c>
    </row>
    <row r="44" spans="1:9" s="99" customFormat="1" ht="15" customHeight="1" x14ac:dyDescent="0.2">
      <c r="A44" s="113"/>
      <c r="B44" s="124" t="s">
        <v>50</v>
      </c>
      <c r="C44" s="7" t="s">
        <v>51</v>
      </c>
      <c r="D44" s="147">
        <v>14740</v>
      </c>
      <c r="E44" s="147">
        <v>15580</v>
      </c>
      <c r="F44" s="147"/>
      <c r="G44" s="147">
        <f>F44/E44*100</f>
        <v>0</v>
      </c>
    </row>
    <row r="45" spans="1:9" s="99" customFormat="1" ht="15" customHeight="1" x14ac:dyDescent="0.2">
      <c r="A45" s="97"/>
      <c r="B45" s="109" t="s">
        <v>52</v>
      </c>
      <c r="C45" s="3" t="s">
        <v>53</v>
      </c>
      <c r="D45" s="142">
        <v>3918</v>
      </c>
      <c r="E45" s="142">
        <v>4145</v>
      </c>
      <c r="F45" s="142"/>
      <c r="G45" s="142">
        <f>F45/E45*100</f>
        <v>0</v>
      </c>
    </row>
    <row r="46" spans="1:9" s="99" customFormat="1" ht="15" customHeight="1" x14ac:dyDescent="0.2">
      <c r="A46" s="97"/>
      <c r="B46" s="109" t="s">
        <v>54</v>
      </c>
      <c r="C46" s="3" t="s">
        <v>55</v>
      </c>
      <c r="D46" s="768">
        <v>13066</v>
      </c>
      <c r="E46" s="768">
        <v>13528</v>
      </c>
      <c r="F46" s="768"/>
      <c r="G46" s="142">
        <f>F46/E46*100</f>
        <v>0</v>
      </c>
    </row>
    <row r="47" spans="1:9" s="99" customFormat="1" ht="15" customHeight="1" x14ac:dyDescent="0.2">
      <c r="A47" s="97"/>
      <c r="B47" s="109" t="s">
        <v>56</v>
      </c>
      <c r="C47" s="3" t="s">
        <v>57</v>
      </c>
      <c r="D47" s="142"/>
      <c r="E47" s="142"/>
      <c r="F47" s="142"/>
      <c r="G47" s="142"/>
    </row>
    <row r="48" spans="1:9" s="99" customFormat="1" ht="15" customHeight="1" thickBot="1" x14ac:dyDescent="0.25">
      <c r="A48" s="97"/>
      <c r="B48" s="109" t="s">
        <v>58</v>
      </c>
      <c r="C48" s="3" t="s">
        <v>59</v>
      </c>
      <c r="D48" s="142"/>
      <c r="E48" s="142"/>
      <c r="F48" s="142"/>
      <c r="G48" s="142"/>
    </row>
    <row r="49" spans="1:7" s="99" customFormat="1" ht="15" customHeight="1" thickBot="1" x14ac:dyDescent="0.25">
      <c r="A49" s="1132" t="s">
        <v>3</v>
      </c>
      <c r="B49" s="2"/>
      <c r="C49" s="1156" t="s">
        <v>1513</v>
      </c>
      <c r="D49" s="141">
        <f>SUM(D50:D52)</f>
        <v>0</v>
      </c>
      <c r="E49" s="141">
        <f>SUM(E50:E52)</f>
        <v>604</v>
      </c>
      <c r="F49" s="141">
        <f>SUM(F50:F52)</f>
        <v>0</v>
      </c>
      <c r="G49" s="141"/>
    </row>
    <row r="50" spans="1:7" s="96" customFormat="1" ht="15" customHeight="1" x14ac:dyDescent="0.2">
      <c r="A50" s="113"/>
      <c r="B50" s="1165" t="s">
        <v>4</v>
      </c>
      <c r="C50" s="1151" t="s">
        <v>1173</v>
      </c>
      <c r="D50" s="147">
        <v>0</v>
      </c>
      <c r="E50" s="147">
        <v>604</v>
      </c>
      <c r="F50" s="147"/>
      <c r="G50" s="147"/>
    </row>
    <row r="51" spans="1:7" s="99" customFormat="1" ht="15" customHeight="1" x14ac:dyDescent="0.2">
      <c r="A51" s="97"/>
      <c r="B51" s="1166" t="s">
        <v>6</v>
      </c>
      <c r="C51" s="1144" t="s">
        <v>64</v>
      </c>
      <c r="D51" s="142">
        <v>0</v>
      </c>
      <c r="E51" s="142">
        <v>0</v>
      </c>
      <c r="F51" s="142">
        <v>0</v>
      </c>
      <c r="G51" s="142"/>
    </row>
    <row r="52" spans="1:7" s="99" customFormat="1" ht="30" customHeight="1" thickBot="1" x14ac:dyDescent="0.25">
      <c r="A52" s="97"/>
      <c r="B52" s="1166" t="s">
        <v>7</v>
      </c>
      <c r="C52" s="1144" t="s">
        <v>1500</v>
      </c>
      <c r="D52" s="142">
        <v>0</v>
      </c>
      <c r="E52" s="142">
        <v>0</v>
      </c>
      <c r="F52" s="142">
        <v>0</v>
      </c>
      <c r="G52" s="142"/>
    </row>
    <row r="53" spans="1:7" s="99" customFormat="1" ht="15" customHeight="1" thickBot="1" x14ac:dyDescent="0.25">
      <c r="A53" s="150" t="s">
        <v>12</v>
      </c>
      <c r="B53" s="151"/>
      <c r="C53" s="354" t="s">
        <v>1501</v>
      </c>
      <c r="D53" s="152" t="e">
        <f>+D43+D49+#REF!</f>
        <v>#REF!</v>
      </c>
      <c r="E53" s="152" t="e">
        <f>+E43+E49+#REF!</f>
        <v>#REF!</v>
      </c>
      <c r="F53" s="152">
        <f>+F43+F49</f>
        <v>0</v>
      </c>
      <c r="G53" s="152" t="e">
        <f>F53/E53*100</f>
        <v>#REF!</v>
      </c>
    </row>
    <row r="54" spans="1:7" s="99" customFormat="1" ht="15" customHeight="1" thickBot="1" x14ac:dyDescent="0.25">
      <c r="A54" s="131"/>
      <c r="B54" s="132"/>
      <c r="C54" s="132"/>
      <c r="D54" s="132"/>
      <c r="E54" s="132"/>
      <c r="F54" s="132"/>
      <c r="G54" s="132"/>
    </row>
    <row r="55" spans="1:7" s="99" customFormat="1" ht="15" customHeight="1" thickBot="1" x14ac:dyDescent="0.25">
      <c r="A55" s="133" t="s">
        <v>136</v>
      </c>
      <c r="B55" s="134"/>
      <c r="C55" s="135"/>
      <c r="D55" s="136">
        <v>6</v>
      </c>
      <c r="E55" s="136">
        <v>6</v>
      </c>
      <c r="F55" s="136">
        <v>6</v>
      </c>
      <c r="G55" s="136"/>
    </row>
    <row r="56" spans="1:7" s="99" customFormat="1" ht="15" customHeight="1" thickBot="1" x14ac:dyDescent="0.25">
      <c r="A56" s="133" t="s">
        <v>137</v>
      </c>
      <c r="B56" s="134"/>
      <c r="C56" s="135"/>
      <c r="D56" s="356"/>
      <c r="E56" s="356"/>
      <c r="F56" s="356"/>
      <c r="G5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27559055118110237" right="0.23622047244094491" top="0.35433070866141736" bottom="0.43307086614173229" header="0.15748031496062992" footer="0.15748031496062992"/>
  <pageSetup paperSize="9" scale="82" firstPageNumber="78" orientation="portrait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8"/>
  <sheetViews>
    <sheetView view="pageBreakPreview" topLeftCell="A38" zoomScaleNormal="130" zoomScaleSheetLayoutView="100" workbookViewId="0">
      <selection activeCell="F35" sqref="F35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6384" width="9.33203125" style="76"/>
  </cols>
  <sheetData>
    <row r="1" spans="1:10" s="79" customFormat="1" ht="33.75" customHeight="1" thickBot="1" x14ac:dyDescent="0.25">
      <c r="A1" s="1521" t="s">
        <v>120</v>
      </c>
      <c r="B1" s="1522"/>
      <c r="C1" s="77" t="s">
        <v>121</v>
      </c>
      <c r="D1" s="1523" t="s">
        <v>1024</v>
      </c>
      <c r="E1" s="343"/>
      <c r="F1" s="1523" t="s">
        <v>1420</v>
      </c>
      <c r="G1" s="1306"/>
    </row>
    <row r="2" spans="1:10" s="79" customFormat="1" ht="33.75" customHeight="1" thickBot="1" x14ac:dyDescent="0.25">
      <c r="A2" s="1525" t="s">
        <v>122</v>
      </c>
      <c r="B2" s="1526"/>
      <c r="C2" s="80" t="s">
        <v>1541</v>
      </c>
      <c r="D2" s="1524"/>
      <c r="E2" s="327"/>
      <c r="F2" s="1524"/>
      <c r="G2" s="137"/>
    </row>
    <row r="3" spans="1:10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0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0" s="89" customFormat="1" ht="15" customHeight="1" thickBot="1" x14ac:dyDescent="0.25">
      <c r="A5" s="1307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0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0" s="89" customFormat="1" ht="31.5" customHeight="1" thickBot="1" x14ac:dyDescent="0.25">
      <c r="A7" s="1308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643640</v>
      </c>
      <c r="G7" s="141">
        <f>F7/E7*100</f>
        <v>34.977393270150422</v>
      </c>
      <c r="I7" s="1135"/>
      <c r="J7" s="1135"/>
    </row>
    <row r="8" spans="1:10" s="96" customFormat="1" ht="19.5" customHeight="1" thickBot="1" x14ac:dyDescent="0.25">
      <c r="A8" s="1308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f>SUM('3.b. sz. mell'!F8)</f>
        <v>192560</v>
      </c>
      <c r="G8" s="141">
        <f t="shared" ref="G8:G46" si="2">F8/E8*100</f>
        <v>11.425614832887923</v>
      </c>
      <c r="I8" s="1135"/>
      <c r="J8" s="1135"/>
    </row>
    <row r="9" spans="1:10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2"/>
        <v>0</v>
      </c>
      <c r="I9" s="1135"/>
      <c r="J9" s="1135"/>
    </row>
    <row r="10" spans="1:10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/>
      <c r="J10" s="1135"/>
    </row>
    <row r="11" spans="1:10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/>
      <c r="G11" s="142">
        <f t="shared" si="2"/>
        <v>0</v>
      </c>
      <c r="I11" s="1135"/>
      <c r="J11" s="1135"/>
    </row>
    <row r="12" spans="1:10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/>
      <c r="G12" s="142">
        <f t="shared" si="2"/>
        <v>0</v>
      </c>
      <c r="I12" s="1135"/>
      <c r="J12" s="1135"/>
    </row>
    <row r="13" spans="1:10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/>
      <c r="J13" s="1135"/>
    </row>
    <row r="14" spans="1:10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/>
      <c r="J14" s="1135"/>
    </row>
    <row r="15" spans="1:10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/>
      <c r="J15" s="1135"/>
    </row>
    <row r="16" spans="1:10" s="96" customFormat="1" ht="18.75" customHeight="1" thickBot="1" x14ac:dyDescent="0.25">
      <c r="A16" s="1308" t="s">
        <v>12</v>
      </c>
      <c r="B16" s="94"/>
      <c r="C16" s="368" t="s">
        <v>1626</v>
      </c>
      <c r="D16" s="141">
        <f>SUM(D17:D24)</f>
        <v>77679</v>
      </c>
      <c r="E16" s="141">
        <f t="shared" ref="E16" si="3">SUM(E17:E24)</f>
        <v>154824</v>
      </c>
      <c r="F16" s="141">
        <f>SUM('3.b. sz. mell'!F16+'4. b.sz. mell.'!F8+'5.b. sz. mell.'!F8)</f>
        <v>80971</v>
      </c>
      <c r="G16" s="141">
        <f t="shared" si="2"/>
        <v>52.298739213558619</v>
      </c>
      <c r="I16" s="1135"/>
      <c r="J16" s="1135"/>
    </row>
    <row r="17" spans="1:10" s="96" customFormat="1" ht="15" hidden="1" customHeight="1" x14ac:dyDescent="0.2">
      <c r="A17" s="1309"/>
      <c r="B17" s="98"/>
      <c r="C17" s="375"/>
      <c r="D17" s="144"/>
      <c r="E17" s="144"/>
      <c r="F17" s="144"/>
      <c r="G17" s="144"/>
      <c r="I17" s="1135"/>
      <c r="J17" s="1135"/>
    </row>
    <row r="18" spans="1:10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2"/>
      <c r="G18" s="142">
        <f t="shared" si="2"/>
        <v>0</v>
      </c>
      <c r="I18" s="1135"/>
      <c r="J18" s="1135"/>
    </row>
    <row r="19" spans="1:10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2"/>
      <c r="G19" s="142">
        <f t="shared" si="2"/>
        <v>0</v>
      </c>
      <c r="I19" s="1135"/>
      <c r="J19" s="1135"/>
    </row>
    <row r="20" spans="1:10" s="96" customFormat="1" ht="15" hidden="1" customHeight="1" x14ac:dyDescent="0.2">
      <c r="A20" s="97"/>
      <c r="B20" s="98"/>
      <c r="C20" s="375"/>
      <c r="D20" s="142"/>
      <c r="E20" s="142"/>
      <c r="F20" s="142"/>
      <c r="G20" s="142"/>
      <c r="I20" s="1135"/>
      <c r="J20" s="1135"/>
    </row>
    <row r="21" spans="1:10" s="96" customFormat="1" ht="15" hidden="1" customHeight="1" x14ac:dyDescent="0.2">
      <c r="A21" s="97"/>
      <c r="B21" s="98"/>
      <c r="C21" s="375"/>
      <c r="D21" s="142"/>
      <c r="E21" s="142"/>
      <c r="F21" s="142"/>
      <c r="G21" s="142"/>
      <c r="I21" s="1135"/>
      <c r="J21" s="1135"/>
    </row>
    <row r="22" spans="1:10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3"/>
      <c r="G22" s="143">
        <f t="shared" si="2"/>
        <v>0</v>
      </c>
      <c r="I22" s="1135"/>
      <c r="J22" s="1135"/>
    </row>
    <row r="23" spans="1:10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2"/>
      <c r="G23" s="142">
        <f t="shared" si="2"/>
        <v>0</v>
      </c>
      <c r="I23" s="1135"/>
      <c r="J23" s="1135"/>
    </row>
    <row r="24" spans="1:10" s="99" customFormat="1" ht="15" hidden="1" customHeight="1" thickBot="1" x14ac:dyDescent="0.25">
      <c r="A24" s="104"/>
      <c r="B24" s="105"/>
      <c r="C24" s="375"/>
      <c r="D24" s="145"/>
      <c r="E24" s="145"/>
      <c r="F24" s="145"/>
      <c r="G24" s="145"/>
      <c r="I24" s="1135"/>
      <c r="J24" s="1135"/>
    </row>
    <row r="25" spans="1:10" s="99" customFormat="1" ht="15" hidden="1" customHeight="1" x14ac:dyDescent="0.2">
      <c r="A25" s="1308"/>
      <c r="B25" s="106"/>
      <c r="C25" s="368"/>
      <c r="D25" s="119"/>
      <c r="E25" s="119"/>
      <c r="F25" s="119"/>
      <c r="G25" s="141" t="e">
        <f t="shared" si="2"/>
        <v>#DIV/0!</v>
      </c>
      <c r="I25" s="1135"/>
      <c r="J25" s="1135"/>
    </row>
    <row r="26" spans="1:10" s="96" customFormat="1" ht="21" customHeight="1" thickBot="1" x14ac:dyDescent="0.25">
      <c r="A26" s="1308" t="s">
        <v>68</v>
      </c>
      <c r="B26" s="94"/>
      <c r="C26" s="368" t="s">
        <v>1614</v>
      </c>
      <c r="D26" s="141">
        <f>SUM(D28:D33)</f>
        <v>0</v>
      </c>
      <c r="E26" s="141">
        <f>SUM(E28:E33)</f>
        <v>0</v>
      </c>
      <c r="F26" s="141">
        <f>SUM('3.b. sz. mell'!F26+'4. b.sz. mell.'!F19+'5.b. sz. mell.'!F19)</f>
        <v>370109</v>
      </c>
      <c r="G26" s="141" t="e">
        <f t="shared" si="2"/>
        <v>#DIV/0!</v>
      </c>
      <c r="I26" s="1135"/>
      <c r="J26" s="1135"/>
    </row>
    <row r="27" spans="1:10" s="96" customFormat="1" ht="21" customHeight="1" thickBot="1" x14ac:dyDescent="0.25">
      <c r="A27" s="1308" t="s">
        <v>27</v>
      </c>
      <c r="B27" s="1366"/>
      <c r="C27" s="1303" t="s">
        <v>1170</v>
      </c>
      <c r="D27" s="1367"/>
      <c r="E27" s="1367"/>
      <c r="F27" s="1368"/>
      <c r="G27" s="1367"/>
      <c r="I27" s="1135"/>
      <c r="J27" s="1135"/>
    </row>
    <row r="28" spans="1:10" s="99" customFormat="1" ht="30.75" customHeight="1" thickBot="1" x14ac:dyDescent="0.25">
      <c r="A28" s="1308" t="s">
        <v>32</v>
      </c>
      <c r="B28" s="98"/>
      <c r="C28" s="1291" t="s">
        <v>1617</v>
      </c>
      <c r="D28" s="142"/>
      <c r="E28" s="142"/>
      <c r="F28" s="1293">
        <f>SUM(F29:F31)</f>
        <v>251000</v>
      </c>
      <c r="G28" s="142" t="e">
        <f t="shared" si="2"/>
        <v>#DIV/0!</v>
      </c>
      <c r="I28" s="1135"/>
      <c r="J28" s="1135"/>
    </row>
    <row r="29" spans="1:10" s="99" customFormat="1" ht="18.75" customHeight="1" thickBot="1" x14ac:dyDescent="0.25">
      <c r="A29" s="1308" t="s">
        <v>74</v>
      </c>
      <c r="B29" s="98"/>
      <c r="C29" s="368" t="s">
        <v>1587</v>
      </c>
      <c r="D29" s="142"/>
      <c r="E29" s="142"/>
      <c r="F29" s="141">
        <f>SUM('3.b. sz. mell'!F28)</f>
        <v>250000</v>
      </c>
      <c r="G29" s="142" t="e">
        <f t="shared" si="2"/>
        <v>#DIV/0!</v>
      </c>
      <c r="I29" s="1135"/>
      <c r="J29" s="1135"/>
    </row>
    <row r="30" spans="1:10" s="99" customFormat="1" ht="18.75" customHeight="1" thickBot="1" x14ac:dyDescent="0.25">
      <c r="A30" s="1308" t="s">
        <v>38</v>
      </c>
      <c r="B30" s="98"/>
      <c r="C30" s="368" t="s">
        <v>1618</v>
      </c>
      <c r="D30" s="142"/>
      <c r="E30" s="142"/>
      <c r="F30" s="141">
        <f>SUM('3.b. sz. mell'!F29)</f>
        <v>0</v>
      </c>
      <c r="G30" s="142" t="e">
        <f t="shared" si="2"/>
        <v>#DIV/0!</v>
      </c>
      <c r="I30" s="1135"/>
      <c r="J30" s="1135"/>
    </row>
    <row r="31" spans="1:10" s="99" customFormat="1" ht="18.75" customHeight="1" thickBot="1" x14ac:dyDescent="0.25">
      <c r="A31" s="1308" t="s">
        <v>88</v>
      </c>
      <c r="B31" s="98"/>
      <c r="C31" s="368" t="s">
        <v>1171</v>
      </c>
      <c r="D31" s="142"/>
      <c r="E31" s="142"/>
      <c r="F31" s="141">
        <f>SUM('3.b. sz. mell'!F30)</f>
        <v>1000</v>
      </c>
      <c r="G31" s="142"/>
      <c r="I31" s="1135"/>
      <c r="J31" s="1135"/>
    </row>
    <row r="32" spans="1:10" s="99" customFormat="1" ht="21.75" customHeight="1" thickBot="1" x14ac:dyDescent="0.25">
      <c r="A32" s="1308" t="s">
        <v>41</v>
      </c>
      <c r="B32" s="98"/>
      <c r="C32" s="1291" t="s">
        <v>1619</v>
      </c>
      <c r="D32" s="142"/>
      <c r="E32" s="142"/>
      <c r="F32" s="1293">
        <f>SUM(F33)</f>
        <v>28005</v>
      </c>
      <c r="G32" s="142"/>
      <c r="I32" s="1135"/>
      <c r="J32" s="1135"/>
    </row>
    <row r="33" spans="1:10" s="99" customFormat="1" ht="16.5" customHeight="1" thickBot="1" x14ac:dyDescent="0.25">
      <c r="A33" s="1308" t="s">
        <v>42</v>
      </c>
      <c r="B33" s="98"/>
      <c r="C33" s="368" t="s">
        <v>1595</v>
      </c>
      <c r="D33" s="142"/>
      <c r="E33" s="142"/>
      <c r="F33" s="141">
        <f>SUM(F34:F35)</f>
        <v>28005</v>
      </c>
      <c r="G33" s="142"/>
      <c r="I33" s="1135"/>
      <c r="J33" s="1135"/>
    </row>
    <row r="34" spans="1:10" s="99" customFormat="1" ht="16.5" customHeight="1" thickBot="1" x14ac:dyDescent="0.25">
      <c r="A34" s="1308" t="s">
        <v>45</v>
      </c>
      <c r="B34" s="101"/>
      <c r="C34" s="1305" t="s">
        <v>1606</v>
      </c>
      <c r="D34" s="143"/>
      <c r="E34" s="143"/>
      <c r="F34" s="143"/>
      <c r="G34" s="143"/>
      <c r="I34" s="1135"/>
      <c r="J34" s="1135"/>
    </row>
    <row r="35" spans="1:10" s="99" customFormat="1" ht="16.5" customHeight="1" thickBot="1" x14ac:dyDescent="0.25">
      <c r="A35" s="1308" t="s">
        <v>46</v>
      </c>
      <c r="B35" s="101"/>
      <c r="C35" s="1305" t="s">
        <v>1628</v>
      </c>
      <c r="D35" s="143"/>
      <c r="E35" s="143"/>
      <c r="F35" s="143">
        <f>SUM('4. b.sz. mell.'!F39+'5.b. sz. mell.'!F39)</f>
        <v>28005</v>
      </c>
      <c r="G35" s="143"/>
      <c r="I35" s="1135"/>
      <c r="J35" s="1135">
        <f>SUM(F78-F35)</f>
        <v>0</v>
      </c>
    </row>
    <row r="36" spans="1:10" s="99" customFormat="1" ht="16.5" customHeight="1" thickBot="1" x14ac:dyDescent="0.25">
      <c r="A36" s="1308" t="s">
        <v>47</v>
      </c>
      <c r="B36" s="101"/>
      <c r="C36" s="1304" t="s">
        <v>599</v>
      </c>
      <c r="D36" s="143"/>
      <c r="E36" s="143"/>
      <c r="F36" s="1406">
        <f>SUM(F7+F28+F32)</f>
        <v>922645</v>
      </c>
      <c r="G36" s="143"/>
      <c r="I36" s="1135"/>
      <c r="J36" s="1135"/>
    </row>
    <row r="37" spans="1:10" s="99" customFormat="1" ht="16.5" customHeight="1" thickBot="1" x14ac:dyDescent="0.25">
      <c r="A37" s="1308" t="s">
        <v>91</v>
      </c>
      <c r="B37" s="101"/>
      <c r="C37" s="1303" t="s">
        <v>1624</v>
      </c>
      <c r="D37" s="143"/>
      <c r="E37" s="143"/>
      <c r="F37" s="141">
        <f>SUM(F35)</f>
        <v>28005</v>
      </c>
      <c r="G37" s="143"/>
      <c r="I37" s="1135"/>
      <c r="J37" s="1135"/>
    </row>
    <row r="38" spans="1:10" s="99" customFormat="1" ht="21" customHeight="1" thickBot="1" x14ac:dyDescent="0.25">
      <c r="A38" s="1308" t="s">
        <v>92</v>
      </c>
      <c r="B38" s="151"/>
      <c r="C38" s="9" t="s">
        <v>1627</v>
      </c>
      <c r="D38" s="152" t="e">
        <f>+#REF!+#REF!+#REF!</f>
        <v>#REF!</v>
      </c>
      <c r="E38" s="152" t="e">
        <f>+#REF!+#REF!+#REF!</f>
        <v>#REF!</v>
      </c>
      <c r="F38" s="152">
        <f>SUM(F7+F28+F32-F37)</f>
        <v>894640</v>
      </c>
      <c r="G38" s="152" t="e">
        <f t="shared" si="2"/>
        <v>#REF!</v>
      </c>
      <c r="I38" s="1135"/>
      <c r="J38" s="1135"/>
    </row>
    <row r="39" spans="1:10" s="99" customFormat="1" ht="15" customHeight="1" thickBot="1" x14ac:dyDescent="0.25">
      <c r="A39" s="153"/>
      <c r="B39" s="153"/>
      <c r="C39" s="154"/>
      <c r="D39" s="155"/>
      <c r="E39" s="155"/>
      <c r="F39" s="155"/>
      <c r="G39" s="155"/>
      <c r="I39" s="1135"/>
      <c r="J39" s="1135"/>
    </row>
    <row r="40" spans="1:10" s="89" customFormat="1" ht="20.25" customHeight="1" thickBot="1" x14ac:dyDescent="0.25">
      <c r="A40" s="156"/>
      <c r="B40" s="157"/>
      <c r="C40" s="121" t="s">
        <v>82</v>
      </c>
      <c r="D40" s="122"/>
      <c r="E40" s="122"/>
      <c r="F40" s="122"/>
      <c r="G40" s="122"/>
      <c r="I40" s="1135"/>
      <c r="J40" s="1135"/>
    </row>
    <row r="41" spans="1:10" s="125" customFormat="1" ht="15" customHeight="1" thickBot="1" x14ac:dyDescent="0.25">
      <c r="A41" s="1308" t="s">
        <v>2</v>
      </c>
      <c r="B41" s="2"/>
      <c r="C41" s="10" t="s">
        <v>1620</v>
      </c>
      <c r="D41" s="141">
        <f>SUM(D42:D46)+D55</f>
        <v>873535</v>
      </c>
      <c r="E41" s="141">
        <f t="shared" ref="E41" si="4">SUM(E42:E46)+E55</f>
        <v>1045962</v>
      </c>
      <c r="F41" s="141">
        <f>SUM(F42:F46)</f>
        <v>634078</v>
      </c>
      <c r="G41" s="141">
        <f t="shared" si="2"/>
        <v>60.621513974695063</v>
      </c>
      <c r="I41" s="1135"/>
      <c r="J41" s="1135"/>
    </row>
    <row r="42" spans="1:10" ht="15" customHeight="1" x14ac:dyDescent="0.2">
      <c r="A42" s="113"/>
      <c r="B42" s="124" t="s">
        <v>50</v>
      </c>
      <c r="C42" s="3" t="s">
        <v>51</v>
      </c>
      <c r="D42" s="147">
        <f>SUM('3.2.sz.melléklet'!E173+'3.2.sz.melléklet'!E191+'3.2.sz.melléklet'!E196+'3.2.sz.melléklet'!E216)</f>
        <v>16170</v>
      </c>
      <c r="E42" s="147">
        <f>SUM('3.2.sz.melléklet'!F173+'3.2.sz.melléklet'!F191+'3.2.sz.melléklet'!F196+'3.2.sz.melléklet'!F216)</f>
        <v>49543</v>
      </c>
      <c r="F42" s="147">
        <f>SUM('3.b. sz. mell'!F37+'4. b.sz. mell.'!F45+'5.b. sz. mell.'!F47)</f>
        <v>160454</v>
      </c>
      <c r="G42" s="147">
        <f t="shared" si="2"/>
        <v>323.86815493611613</v>
      </c>
      <c r="I42" s="1135"/>
      <c r="J42" s="1135"/>
    </row>
    <row r="43" spans="1:10" ht="15" customHeight="1" x14ac:dyDescent="0.2">
      <c r="A43" s="97"/>
      <c r="B43" s="109" t="s">
        <v>52</v>
      </c>
      <c r="C43" s="3" t="s">
        <v>53</v>
      </c>
      <c r="D43" s="142">
        <f>SUM('3.2.sz.melléklet'!E7+'3.2.sz.melléklet'!E174+'3.2.sz.melléklet'!E192+'3.2.sz.melléklet'!E197+'3.2.sz.melléklet'!E217)</f>
        <v>10003</v>
      </c>
      <c r="E43" s="142">
        <f>SUM('3.2.sz.melléklet'!F7+'3.2.sz.melléklet'!F174+'3.2.sz.melléklet'!F192+'3.2.sz.melléklet'!F197+'3.2.sz.melléklet'!F217)</f>
        <v>17364</v>
      </c>
      <c r="F43" s="147">
        <f>SUM('3.b. sz. mell'!F38+'4. b.sz. mell.'!F46+'5.b. sz. mell.'!F48)</f>
        <v>41194</v>
      </c>
      <c r="G43" s="142">
        <f t="shared" si="2"/>
        <v>237.2379636028565</v>
      </c>
      <c r="I43" s="1135"/>
      <c r="J43" s="1135"/>
    </row>
    <row r="44" spans="1:10" ht="15" customHeight="1" x14ac:dyDescent="0.2">
      <c r="A44" s="97"/>
      <c r="B44" s="109" t="s">
        <v>54</v>
      </c>
      <c r="C44" s="3" t="s">
        <v>55</v>
      </c>
      <c r="D44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44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44" s="147">
        <f>SUM('3.b. sz. mell'!F39+'4. b.sz. mell.'!F47+'5.b. sz. mell.'!F49)</f>
        <v>236774</v>
      </c>
      <c r="G44" s="142">
        <f t="shared" si="2"/>
        <v>31.3578458184727</v>
      </c>
      <c r="I44" s="1135"/>
      <c r="J44" s="1135"/>
    </row>
    <row r="45" spans="1:10" ht="15" customHeight="1" x14ac:dyDescent="0.2">
      <c r="A45" s="97"/>
      <c r="B45" s="109" t="s">
        <v>56</v>
      </c>
      <c r="C45" s="3" t="s">
        <v>57</v>
      </c>
      <c r="D45" s="142">
        <f>SUM('3.2.sz.melléklet'!E116)</f>
        <v>17000</v>
      </c>
      <c r="E45" s="142">
        <f>SUM('3.2.sz.melléklet'!F116)</f>
        <v>17000</v>
      </c>
      <c r="F45" s="142"/>
      <c r="G45" s="142">
        <f t="shared" si="2"/>
        <v>0</v>
      </c>
      <c r="I45" s="1135"/>
      <c r="J45" s="1135"/>
    </row>
    <row r="46" spans="1:10" ht="15" customHeight="1" x14ac:dyDescent="0.2">
      <c r="A46" s="97"/>
      <c r="B46" s="109" t="s">
        <v>58</v>
      </c>
      <c r="C46" s="3" t="s">
        <v>59</v>
      </c>
      <c r="D46" s="142">
        <f>SUM(D47:D54)</f>
        <v>133646</v>
      </c>
      <c r="E46" s="142">
        <f>SUM(E47:E54)</f>
        <v>193789</v>
      </c>
      <c r="F46" s="142">
        <f>SUM(F47:F54)</f>
        <v>195656</v>
      </c>
      <c r="G46" s="142">
        <f t="shared" si="2"/>
        <v>100.9634189763093</v>
      </c>
      <c r="I46" s="1135"/>
      <c r="J46" s="1135"/>
    </row>
    <row r="47" spans="1:10" ht="15" customHeight="1" x14ac:dyDescent="0.2">
      <c r="A47" s="97"/>
      <c r="B47" s="109" t="s">
        <v>60</v>
      </c>
      <c r="C47" s="158" t="s">
        <v>1428</v>
      </c>
      <c r="D47" s="142"/>
      <c r="E47" s="142"/>
      <c r="F47" s="142"/>
      <c r="G47" s="142"/>
      <c r="I47" s="1135"/>
      <c r="J47" s="1135"/>
    </row>
    <row r="48" spans="1:10" ht="15" customHeight="1" x14ac:dyDescent="0.2">
      <c r="A48" s="97"/>
      <c r="B48" s="109" t="s">
        <v>61</v>
      </c>
      <c r="C48" s="158" t="s">
        <v>1548</v>
      </c>
      <c r="D48" s="142"/>
      <c r="E48" s="142"/>
      <c r="F48" s="142">
        <f>SUM('3.b. sz. mell'!F43)</f>
        <v>89231</v>
      </c>
      <c r="G48" s="142"/>
      <c r="I48" s="1135"/>
      <c r="J48" s="1135"/>
    </row>
    <row r="49" spans="1:15" ht="15" customHeight="1" thickBot="1" x14ac:dyDescent="0.25">
      <c r="A49" s="97"/>
      <c r="B49" s="109" t="s">
        <v>139</v>
      </c>
      <c r="C49" s="158" t="s">
        <v>87</v>
      </c>
      <c r="D49" s="142"/>
      <c r="E49" s="142"/>
      <c r="F49" s="142">
        <f>SUM('3.b. sz. mell'!F44)</f>
        <v>106425</v>
      </c>
      <c r="G49" s="142"/>
      <c r="I49" s="1135"/>
      <c r="J49" s="1135"/>
    </row>
    <row r="50" spans="1:15" ht="15" hidden="1" customHeight="1" x14ac:dyDescent="0.2">
      <c r="A50" s="97"/>
      <c r="B50" s="109"/>
      <c r="C50" s="158"/>
      <c r="D50" s="142">
        <f>SUM('3.2.sz.melléklet'!E41)</f>
        <v>101646</v>
      </c>
      <c r="E50" s="142">
        <f>SUM('3.2.sz.melléklet'!F41)-'3.2.sz.melléklet'!F60-'3.2.sz.melléklet'!F61</f>
        <v>151236</v>
      </c>
      <c r="F50" s="142"/>
      <c r="G50" s="142">
        <f t="shared" ref="G50:G77" si="5">F50/E50*100</f>
        <v>0</v>
      </c>
      <c r="I50" s="1135"/>
      <c r="J50" s="1135"/>
    </row>
    <row r="51" spans="1:15" ht="15" hidden="1" customHeight="1" x14ac:dyDescent="0.2">
      <c r="A51" s="97"/>
      <c r="B51" s="109"/>
      <c r="C51" s="158"/>
      <c r="D51" s="142"/>
      <c r="E51" s="142">
        <f>'3.2.sz.melléklet'!F27+'3.2.sz.melléklet'!F60+'3.2.sz.melléklet'!F61</f>
        <v>10553</v>
      </c>
      <c r="F51" s="142"/>
      <c r="G51" s="142">
        <f t="shared" si="5"/>
        <v>0</v>
      </c>
      <c r="I51" s="1135"/>
      <c r="J51" s="1135"/>
    </row>
    <row r="52" spans="1:15" ht="15" hidden="1" customHeight="1" x14ac:dyDescent="0.2">
      <c r="A52" s="97"/>
      <c r="B52" s="109"/>
      <c r="C52" s="158"/>
      <c r="D52" s="142"/>
      <c r="E52" s="142"/>
      <c r="F52" s="142"/>
      <c r="G52" s="142"/>
      <c r="I52" s="1135"/>
      <c r="J52" s="1135"/>
    </row>
    <row r="53" spans="1:15" ht="15" hidden="1" customHeight="1" x14ac:dyDescent="0.2">
      <c r="A53" s="97"/>
      <c r="B53" s="109"/>
      <c r="C53" s="158"/>
      <c r="D53" s="142">
        <f>SUM('3.2.sz.melléklet'!E17)</f>
        <v>32000</v>
      </c>
      <c r="E53" s="142">
        <f>SUM('3.2.sz.melléklet'!F17)</f>
        <v>32000</v>
      </c>
      <c r="F53" s="142"/>
      <c r="G53" s="142"/>
      <c r="I53" s="1135"/>
      <c r="J53" s="1135"/>
    </row>
    <row r="54" spans="1:15" ht="15" hidden="1" customHeight="1" x14ac:dyDescent="0.2">
      <c r="A54" s="104"/>
      <c r="B54" s="109"/>
      <c r="C54" s="158"/>
      <c r="D54" s="145"/>
      <c r="E54" s="145"/>
      <c r="F54" s="145"/>
      <c r="G54" s="145"/>
      <c r="I54" s="1135"/>
      <c r="J54" s="1135"/>
    </row>
    <row r="55" spans="1:15" ht="15" hidden="1" customHeight="1" x14ac:dyDescent="0.2">
      <c r="A55" s="1310"/>
      <c r="B55" s="112"/>
      <c r="C55" s="129"/>
      <c r="D55" s="159">
        <f>SUM('3.2.sz.melléklet'!E124)</f>
        <v>143605</v>
      </c>
      <c r="E55" s="159">
        <f>'3.2.sz.melléklet'!F122</f>
        <v>13195</v>
      </c>
      <c r="F55" s="159"/>
      <c r="G55" s="159"/>
      <c r="I55" s="1135"/>
      <c r="J55" s="1135"/>
    </row>
    <row r="56" spans="1:15" ht="15" customHeight="1" thickBot="1" x14ac:dyDescent="0.25">
      <c r="A56" s="1308" t="s">
        <v>3</v>
      </c>
      <c r="B56" s="2"/>
      <c r="C56" s="10" t="s">
        <v>140</v>
      </c>
      <c r="D56" s="141">
        <f>SUM(D57:D59)</f>
        <v>222432</v>
      </c>
      <c r="E56" s="141">
        <f>SUM(E57:E59)</f>
        <v>696460</v>
      </c>
      <c r="F56" s="141">
        <f>SUM(F57:F59)</f>
        <v>254772</v>
      </c>
      <c r="G56" s="141">
        <f t="shared" si="5"/>
        <v>36.580995319185597</v>
      </c>
      <c r="I56" s="1135"/>
      <c r="J56" s="1135"/>
    </row>
    <row r="57" spans="1:15" s="125" customFormat="1" ht="15" customHeight="1" x14ac:dyDescent="0.2">
      <c r="A57" s="113"/>
      <c r="B57" s="109" t="s">
        <v>141</v>
      </c>
      <c r="C57" s="3" t="s">
        <v>142</v>
      </c>
      <c r="D57" s="147">
        <f>SUM('3.2.sz.melléklet'!E140)</f>
        <v>91500</v>
      </c>
      <c r="E57" s="147">
        <f>SUM('3.2.sz.melléklet'!F140)</f>
        <v>595591</v>
      </c>
      <c r="F57" s="147">
        <f>SUM('3.b. sz. mell'!F52+'4. b.sz. mell.'!F53+'5.b. sz. mell.'!F53)</f>
        <v>132500</v>
      </c>
      <c r="G57" s="147">
        <f t="shared" si="5"/>
        <v>22.246810311102752</v>
      </c>
      <c r="I57" s="1135"/>
      <c r="J57" s="1135"/>
    </row>
    <row r="58" spans="1:15" ht="15" customHeight="1" x14ac:dyDescent="0.2">
      <c r="A58" s="97"/>
      <c r="B58" s="109" t="s">
        <v>143</v>
      </c>
      <c r="C58" s="3" t="s">
        <v>64</v>
      </c>
      <c r="D58" s="142">
        <f>SUM('3.2.sz.melléklet'!E139)</f>
        <v>25000</v>
      </c>
      <c r="E58" s="142">
        <f>SUM('3.2.sz.melléklet'!F139)</f>
        <v>25000</v>
      </c>
      <c r="F58" s="142">
        <f>SUM('3.b. sz. mell'!F53+'4. b.sz. mell.'!F54+'5.b. sz. mell.'!F54)</f>
        <v>15000</v>
      </c>
      <c r="G58" s="142">
        <f t="shared" si="5"/>
        <v>60</v>
      </c>
      <c r="I58" s="1135"/>
      <c r="J58" s="1135"/>
    </row>
    <row r="59" spans="1:15" ht="15" customHeight="1" x14ac:dyDescent="0.2">
      <c r="A59" s="97"/>
      <c r="B59" s="109" t="s">
        <v>144</v>
      </c>
      <c r="C59" s="3" t="s">
        <v>66</v>
      </c>
      <c r="D59" s="142">
        <f>SUM(D62+D61)</f>
        <v>105932</v>
      </c>
      <c r="E59" s="142">
        <f t="shared" ref="E59" si="6">SUM(E62+E61)</f>
        <v>75869</v>
      </c>
      <c r="F59" s="142">
        <f>SUM(F60:F62)</f>
        <v>107272</v>
      </c>
      <c r="G59" s="142">
        <f t="shared" si="5"/>
        <v>141.39108199659941</v>
      </c>
      <c r="I59" s="1135"/>
      <c r="J59" s="1135"/>
    </row>
    <row r="60" spans="1:15" ht="15" customHeight="1" x14ac:dyDescent="0.2">
      <c r="A60" s="1294"/>
      <c r="B60" s="1295" t="s">
        <v>469</v>
      </c>
      <c r="C60" s="158" t="s">
        <v>1621</v>
      </c>
      <c r="D60" s="1296"/>
      <c r="E60" s="1296"/>
      <c r="F60" s="1296">
        <f>SUM('3.b. sz. mell'!F55)</f>
        <v>80000</v>
      </c>
      <c r="G60" s="1296"/>
      <c r="I60" s="1135"/>
      <c r="J60" s="1135"/>
    </row>
    <row r="61" spans="1:15" ht="15" customHeight="1" x14ac:dyDescent="0.2">
      <c r="A61" s="97"/>
      <c r="B61" s="1295" t="s">
        <v>470</v>
      </c>
      <c r="C61" s="158" t="s">
        <v>62</v>
      </c>
      <c r="D61" s="142">
        <f>SUM('3.2.sz.melléklet'!E148+'3.2.sz.melléklet'!E149)</f>
        <v>54500</v>
      </c>
      <c r="E61" s="142">
        <f>SUM('3.2.sz.melléklet'!F148+'3.2.sz.melléklet'!F149)</f>
        <v>54500</v>
      </c>
      <c r="F61" s="1296">
        <f>SUM('3.b. sz. mell'!F56)</f>
        <v>0</v>
      </c>
      <c r="G61" s="142">
        <f t="shared" si="5"/>
        <v>0</v>
      </c>
      <c r="I61" s="1135"/>
      <c r="J61" s="1135"/>
    </row>
    <row r="62" spans="1:15" s="125" customFormat="1" ht="15" customHeight="1" thickBot="1" x14ac:dyDescent="0.25">
      <c r="A62" s="97"/>
      <c r="B62" s="1295" t="s">
        <v>471</v>
      </c>
      <c r="C62" s="158" t="s">
        <v>87</v>
      </c>
      <c r="D62" s="142">
        <f>SUM(D63:D65)</f>
        <v>51432</v>
      </c>
      <c r="E62" s="142">
        <f t="shared" ref="E62" si="7">SUM(E63:E65)</f>
        <v>21369</v>
      </c>
      <c r="F62" s="1296">
        <f>SUM('3.b. sz. mell'!F57)</f>
        <v>27272</v>
      </c>
      <c r="G62" s="142">
        <f t="shared" si="5"/>
        <v>127.62412841031401</v>
      </c>
      <c r="I62" s="1135"/>
      <c r="J62" s="1135"/>
    </row>
    <row r="63" spans="1:15" ht="15" hidden="1" customHeight="1" x14ac:dyDescent="0.25">
      <c r="A63" s="97"/>
      <c r="B63" s="109"/>
      <c r="C63" s="160"/>
      <c r="D63" s="161">
        <f>SUM('3.2.sz.melléklet'!E144)</f>
        <v>51432</v>
      </c>
      <c r="E63" s="161">
        <f>SUM('3.2.sz.melléklet'!F144)</f>
        <v>21369</v>
      </c>
      <c r="F63" s="161"/>
      <c r="G63" s="161">
        <f t="shared" si="5"/>
        <v>0</v>
      </c>
      <c r="I63" s="1135"/>
      <c r="J63" s="1135"/>
      <c r="O63" s="127"/>
    </row>
    <row r="64" spans="1:15" ht="15" hidden="1" customHeight="1" x14ac:dyDescent="0.25">
      <c r="A64" s="97"/>
      <c r="B64" s="109"/>
      <c r="C64" s="160"/>
      <c r="D64" s="161"/>
      <c r="E64" s="161"/>
      <c r="F64" s="161"/>
      <c r="G64" s="161"/>
      <c r="I64" s="1135"/>
      <c r="J64" s="1135"/>
    </row>
    <row r="65" spans="1:10" ht="15" hidden="1" customHeight="1" x14ac:dyDescent="0.25">
      <c r="A65" s="104"/>
      <c r="B65" s="109"/>
      <c r="C65" s="162"/>
      <c r="D65" s="163"/>
      <c r="E65" s="163"/>
      <c r="F65" s="163">
        <f>'3.2.sz.melléklet'!G142</f>
        <v>0</v>
      </c>
      <c r="G65" s="163"/>
      <c r="I65" s="1135"/>
      <c r="J65" s="1135"/>
    </row>
    <row r="66" spans="1:10" ht="15" hidden="1" customHeight="1" x14ac:dyDescent="0.2">
      <c r="A66" s="1308"/>
      <c r="B66" s="2"/>
      <c r="C66" s="10"/>
      <c r="D66" s="119"/>
      <c r="E66" s="119">
        <f>'3.2.sz.melléklet'!F147</f>
        <v>6831</v>
      </c>
      <c r="F66" s="119"/>
      <c r="G66" s="119">
        <f t="shared" si="5"/>
        <v>0</v>
      </c>
      <c r="I66" s="1135"/>
      <c r="J66" s="1135"/>
    </row>
    <row r="67" spans="1:10" s="125" customFormat="1" ht="15" hidden="1" customHeight="1" x14ac:dyDescent="0.2">
      <c r="A67" s="1308"/>
      <c r="B67" s="2"/>
      <c r="C67" s="10"/>
      <c r="D67" s="141">
        <f>+D68+D70</f>
        <v>115000</v>
      </c>
      <c r="E67" s="141">
        <f t="shared" ref="E67:F67" si="8">+E68+E70</f>
        <v>258544</v>
      </c>
      <c r="F67" s="141">
        <f t="shared" si="8"/>
        <v>0</v>
      </c>
      <c r="G67" s="141">
        <f t="shared" si="5"/>
        <v>0</v>
      </c>
      <c r="I67" s="1135"/>
      <c r="J67" s="1135"/>
    </row>
    <row r="68" spans="1:10" s="125" customFormat="1" ht="15" hidden="1" customHeight="1" x14ac:dyDescent="0.2">
      <c r="A68" s="113"/>
      <c r="B68" s="124"/>
      <c r="C68" s="3"/>
      <c r="D68" s="147">
        <f>SUM('3.2.sz.melléklet'!E157)</f>
        <v>20000</v>
      </c>
      <c r="E68" s="147"/>
      <c r="F68" s="147">
        <f>SUM('3.2.sz.melléklet'!G157)</f>
        <v>0</v>
      </c>
      <c r="G68" s="147" t="e">
        <f t="shared" si="5"/>
        <v>#DIV/0!</v>
      </c>
      <c r="I68" s="1135"/>
      <c r="J68" s="1135"/>
    </row>
    <row r="69" spans="1:10" s="125" customFormat="1" ht="15" hidden="1" customHeight="1" x14ac:dyDescent="0.2">
      <c r="A69" s="100"/>
      <c r="B69" s="126"/>
      <c r="C69" s="3"/>
      <c r="D69" s="143"/>
      <c r="E69" s="147"/>
      <c r="F69" s="143"/>
      <c r="G69" s="143"/>
      <c r="I69" s="1135"/>
      <c r="J69" s="1135"/>
    </row>
    <row r="70" spans="1:10" s="125" customFormat="1" ht="15" hidden="1" customHeight="1" x14ac:dyDescent="0.2">
      <c r="A70" s="104"/>
      <c r="B70" s="118"/>
      <c r="C70" s="3"/>
      <c r="D70" s="145">
        <f>SUM('3.2.sz.melléklet'!E158)</f>
        <v>95000</v>
      </c>
      <c r="E70" s="145">
        <f>SUM('3.2.sz.melléklet'!F158)</f>
        <v>258544</v>
      </c>
      <c r="F70" s="145"/>
      <c r="G70" s="145">
        <f t="shared" si="5"/>
        <v>0</v>
      </c>
      <c r="I70" s="1135"/>
      <c r="J70" s="1135"/>
    </row>
    <row r="71" spans="1:10" s="125" customFormat="1" ht="15" hidden="1" customHeight="1" thickBot="1" x14ac:dyDescent="0.25">
      <c r="A71" s="1308"/>
      <c r="B71" s="130"/>
      <c r="C71" s="10"/>
      <c r="D71" s="119">
        <f>SUM('3.2.sz.melléklet'!E33)</f>
        <v>1251895</v>
      </c>
      <c r="E71" s="119" t="e">
        <f>SUM('3.2.sz.melléklet'!F33)</f>
        <v>#REF!</v>
      </c>
      <c r="F71" s="119"/>
      <c r="G71" s="119" t="e">
        <f t="shared" si="5"/>
        <v>#REF!</v>
      </c>
      <c r="I71" s="1135"/>
      <c r="J71" s="1135"/>
    </row>
    <row r="72" spans="1:10" s="125" customFormat="1" ht="15" customHeight="1" thickBot="1" x14ac:dyDescent="0.25">
      <c r="A72" s="1308"/>
      <c r="B72" s="2"/>
      <c r="C72" s="8"/>
      <c r="D72" s="164">
        <f>+D41+D56+D66+D67+D71</f>
        <v>2462862</v>
      </c>
      <c r="E72" s="164" t="e">
        <f>+E41+E56+E66+E67+E71</f>
        <v>#REF!</v>
      </c>
      <c r="F72" s="164"/>
      <c r="G72" s="164" t="e">
        <f t="shared" si="5"/>
        <v>#REF!</v>
      </c>
      <c r="I72" s="1135"/>
      <c r="J72" s="1135"/>
    </row>
    <row r="73" spans="1:10" s="125" customFormat="1" ht="15" customHeight="1" thickBot="1" x14ac:dyDescent="0.25">
      <c r="A73" s="1308" t="s">
        <v>12</v>
      </c>
      <c r="B73" s="2"/>
      <c r="C73" s="10" t="s">
        <v>1623</v>
      </c>
      <c r="D73" s="141">
        <f>+D74+D75</f>
        <v>64000</v>
      </c>
      <c r="E73" s="141">
        <f t="shared" ref="E73:F73" si="9">+E74+E75</f>
        <v>64000</v>
      </c>
      <c r="F73" s="141">
        <f t="shared" si="9"/>
        <v>33795</v>
      </c>
      <c r="G73" s="141">
        <f t="shared" si="5"/>
        <v>52.8046875</v>
      </c>
      <c r="I73" s="1135"/>
      <c r="J73" s="1135"/>
    </row>
    <row r="74" spans="1:10" ht="15" customHeight="1" x14ac:dyDescent="0.2">
      <c r="A74" s="113"/>
      <c r="B74" s="118" t="s">
        <v>720</v>
      </c>
      <c r="C74" s="3" t="s">
        <v>1622</v>
      </c>
      <c r="D74" s="147"/>
      <c r="E74" s="147"/>
      <c r="F74" s="147">
        <f>SUM('3.b. sz. mell'!F69)</f>
        <v>28005</v>
      </c>
      <c r="G74" s="147"/>
      <c r="I74" s="1135"/>
      <c r="J74" s="1135"/>
    </row>
    <row r="75" spans="1:10" ht="15" customHeight="1" thickBot="1" x14ac:dyDescent="0.25">
      <c r="A75" s="104"/>
      <c r="B75" s="118" t="s">
        <v>538</v>
      </c>
      <c r="C75" s="3" t="s">
        <v>135</v>
      </c>
      <c r="D75" s="145">
        <f>SUM('3.2.sz.melléklet'!E162)</f>
        <v>64000</v>
      </c>
      <c r="E75" s="145">
        <f>SUM('3.2.sz.melléklet'!F162)</f>
        <v>64000</v>
      </c>
      <c r="F75" s="145">
        <f>SUM('3.b. sz. mell'!F70)</f>
        <v>5790</v>
      </c>
      <c r="G75" s="145">
        <f t="shared" si="5"/>
        <v>9.046875</v>
      </c>
      <c r="I75" s="1135"/>
      <c r="J75" s="1135"/>
    </row>
    <row r="76" spans="1:10" s="99" customFormat="1" ht="15" customHeight="1" thickBot="1" x14ac:dyDescent="0.25">
      <c r="A76" s="1308"/>
      <c r="B76" s="2"/>
      <c r="C76" s="10"/>
      <c r="D76" s="119"/>
      <c r="E76" s="119"/>
      <c r="F76" s="119">
        <f>'3.2.sz.melléklet'!G230</f>
        <v>0</v>
      </c>
      <c r="G76" s="119"/>
      <c r="I76" s="1135"/>
      <c r="J76" s="1135"/>
    </row>
    <row r="77" spans="1:10" ht="15" customHeight="1" thickBot="1" x14ac:dyDescent="0.25">
      <c r="A77" s="150"/>
      <c r="B77" s="151"/>
      <c r="C77" s="9" t="s">
        <v>984</v>
      </c>
      <c r="D77" s="152">
        <f>+D72+D73</f>
        <v>2526862</v>
      </c>
      <c r="E77" s="152" t="e">
        <f t="shared" ref="E77" si="10">+E72+E73</f>
        <v>#REF!</v>
      </c>
      <c r="F77" s="152">
        <f>SUM(F41+F56+F73)</f>
        <v>922645</v>
      </c>
      <c r="G77" s="152" t="e">
        <f t="shared" si="5"/>
        <v>#REF!</v>
      </c>
      <c r="I77" s="1135"/>
      <c r="J77" s="1135"/>
    </row>
    <row r="78" spans="1:10" ht="21.75" customHeight="1" x14ac:dyDescent="0.2">
      <c r="A78" s="1297"/>
      <c r="B78" s="1298"/>
      <c r="C78" s="1300" t="s">
        <v>1624</v>
      </c>
      <c r="D78" s="1299"/>
      <c r="E78" s="1299"/>
      <c r="F78" s="1299">
        <f>SUM(F74)</f>
        <v>28005</v>
      </c>
      <c r="G78" s="1299"/>
      <c r="I78" s="1135"/>
      <c r="J78" s="1135"/>
    </row>
    <row r="79" spans="1:10" ht="20.25" customHeight="1" thickBot="1" x14ac:dyDescent="0.25">
      <c r="A79" s="165"/>
      <c r="B79" s="166"/>
      <c r="C79" s="1302" t="s">
        <v>1625</v>
      </c>
      <c r="D79" s="132"/>
      <c r="E79" s="132"/>
      <c r="F79" s="1301">
        <f>SUM(F77-F78)</f>
        <v>894640</v>
      </c>
      <c r="G79" s="132"/>
      <c r="I79" s="1135"/>
      <c r="J79" s="1135"/>
    </row>
    <row r="80" spans="1:10" ht="20.25" customHeight="1" thickBot="1" x14ac:dyDescent="0.25">
      <c r="A80" s="1520" t="s">
        <v>136</v>
      </c>
      <c r="B80" s="1520"/>
      <c r="C80" s="1520"/>
      <c r="D80" s="136">
        <f>SUM('3.2.sz.melléklet'!E199+'3.2.sz.melléklet'!E182)</f>
        <v>9.5</v>
      </c>
      <c r="E80" s="136">
        <f>SUM('3.2.sz.melléklet'!F199+'3.2.sz.melléklet'!F182)</f>
        <v>9.5</v>
      </c>
      <c r="F80" s="136"/>
      <c r="G80" s="136"/>
      <c r="I80" s="1135"/>
      <c r="J80" s="1136"/>
    </row>
    <row r="81" spans="1:10" ht="15" customHeight="1" thickBot="1" x14ac:dyDescent="0.25">
      <c r="A81" s="1520" t="s">
        <v>137</v>
      </c>
      <c r="B81" s="1520"/>
      <c r="C81" s="1520"/>
      <c r="D81" s="167">
        <v>13.5</v>
      </c>
      <c r="E81" s="167">
        <v>13.5</v>
      </c>
      <c r="F81" s="167"/>
      <c r="G81" s="167"/>
      <c r="I81" s="1135"/>
      <c r="J81" s="1136"/>
    </row>
    <row r="82" spans="1:10" ht="15" customHeight="1" x14ac:dyDescent="0.2"/>
    <row r="83" spans="1:10" ht="15" customHeight="1" x14ac:dyDescent="0.2"/>
    <row r="84" spans="1:10" ht="13.5" thickBot="1" x14ac:dyDescent="0.25"/>
    <row r="85" spans="1:10" ht="16.5" thickBot="1" x14ac:dyDescent="0.25">
      <c r="E85" s="152">
        <v>4969009</v>
      </c>
      <c r="F85" s="152">
        <v>4971068</v>
      </c>
    </row>
    <row r="88" spans="1:10" ht="15.75" x14ac:dyDescent="0.2">
      <c r="E88" s="971" t="e">
        <f>SUM(E85-E77)</f>
        <v>#REF!</v>
      </c>
      <c r="F88" s="971">
        <f>SUM(F85-F77)</f>
        <v>4048423</v>
      </c>
    </row>
  </sheetData>
  <sheetProtection selectLockedCells="1" selectUnlockedCells="1"/>
  <mergeCells count="8">
    <mergeCell ref="A80:C80"/>
    <mergeCell ref="A81:C81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2014. évi 
bevételei és kiadásai&amp;R&amp;"Times New Roman,Normál"&amp;12 2.b. sz. melléklet
Ezer Ft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8"/>
  <sheetViews>
    <sheetView view="pageBreakPreview" topLeftCell="A34" zoomScale="110" zoomScaleNormal="130" zoomScaleSheetLayoutView="110" workbookViewId="0">
      <selection activeCell="K40" sqref="K40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3.6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16384" width="9.33203125" style="76"/>
  </cols>
  <sheetData>
    <row r="1" spans="1:12" s="409" customFormat="1" ht="15" customHeight="1" x14ac:dyDescent="0.2">
      <c r="A1" s="323"/>
      <c r="B1" s="324"/>
      <c r="C1" s="325"/>
      <c r="D1" s="1552" t="s">
        <v>1124</v>
      </c>
      <c r="E1" s="1552"/>
      <c r="F1" s="1552"/>
      <c r="G1" s="1552"/>
    </row>
    <row r="2" spans="1:12" s="410" customFormat="1" ht="30" customHeight="1" x14ac:dyDescent="0.2">
      <c r="A2" s="1554" t="s">
        <v>495</v>
      </c>
      <c r="B2" s="1554"/>
      <c r="C2" s="77" t="s">
        <v>615</v>
      </c>
      <c r="D2" s="1523" t="s">
        <v>1024</v>
      </c>
      <c r="E2" s="343"/>
      <c r="F2" s="1523" t="s">
        <v>1420</v>
      </c>
      <c r="G2" s="343"/>
    </row>
    <row r="3" spans="1:12" s="410" customFormat="1" ht="30" customHeight="1" x14ac:dyDescent="0.2">
      <c r="A3" s="1554" t="s">
        <v>122</v>
      </c>
      <c r="B3" s="1554"/>
      <c r="C3" s="80" t="s">
        <v>616</v>
      </c>
      <c r="D3" s="1524"/>
      <c r="E3" s="327"/>
      <c r="F3" s="1524"/>
      <c r="G3" s="327"/>
    </row>
    <row r="4" spans="1:12" s="410" customFormat="1" ht="15" customHeight="1" x14ac:dyDescent="0.25">
      <c r="A4" s="81"/>
      <c r="B4" s="81"/>
      <c r="C4" s="440"/>
      <c r="D4" s="1527" t="s">
        <v>1025</v>
      </c>
      <c r="E4" s="1527"/>
      <c r="F4" s="1527"/>
      <c r="G4" s="441" t="s">
        <v>79</v>
      </c>
    </row>
    <row r="5" spans="1:12" s="99" customFormat="1" ht="37.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12" s="411" customFormat="1" ht="15" customHeight="1" x14ac:dyDescent="0.2">
      <c r="A6" s="93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12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12" s="96" customFormat="1" ht="15" customHeight="1" x14ac:dyDescent="0.2">
      <c r="A8" s="93" t="s">
        <v>2</v>
      </c>
      <c r="B8" s="94"/>
      <c r="C8" s="1142" t="s">
        <v>1774</v>
      </c>
      <c r="D8" s="36">
        <f>SUM(D9:D18)</f>
        <v>4119</v>
      </c>
      <c r="E8" s="36">
        <f t="shared" ref="E8:F8" si="0">SUM(E9:E18)</f>
        <v>4119</v>
      </c>
      <c r="F8" s="36">
        <f t="shared" si="0"/>
        <v>4325</v>
      </c>
      <c r="G8" s="36">
        <f>F8/E8*100</f>
        <v>105.00121388686574</v>
      </c>
      <c r="K8" s="110">
        <f t="shared" ref="K8:K38" si="1">SUM(F8-L8)</f>
        <v>0</v>
      </c>
      <c r="L8" s="404">
        <f>SUM('5.9.a. sz. mell'!F8+'5.9.b. sz. mell.'!F8)</f>
        <v>4325</v>
      </c>
    </row>
    <row r="9" spans="1:12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  <c r="K9" s="110">
        <f t="shared" si="1"/>
        <v>0</v>
      </c>
      <c r="L9" s="404">
        <f>SUM('5.9.a. sz. mell'!F9+'5.9.b. sz. mell.'!F9)</f>
        <v>0</v>
      </c>
    </row>
    <row r="10" spans="1:12" s="96" customFormat="1" ht="15" customHeight="1" x14ac:dyDescent="0.2">
      <c r="A10" s="97"/>
      <c r="B10" s="98" t="s">
        <v>52</v>
      </c>
      <c r="C10" s="1144" t="s">
        <v>1473</v>
      </c>
      <c r="D10" s="142">
        <v>4119</v>
      </c>
      <c r="E10" s="142">
        <v>4119</v>
      </c>
      <c r="F10" s="142">
        <v>4325</v>
      </c>
      <c r="G10" s="142"/>
      <c r="K10" s="110">
        <f t="shared" si="1"/>
        <v>0</v>
      </c>
      <c r="L10" s="404">
        <f>SUM('5.9.a. sz. mell'!F10+'5.9.b. sz. mell.'!F10)</f>
        <v>4325</v>
      </c>
    </row>
    <row r="11" spans="1:12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  <c r="K11" s="110">
        <f t="shared" si="1"/>
        <v>0</v>
      </c>
      <c r="L11" s="404">
        <f>SUM('5.9.a. sz. mell'!F11+'5.9.b. sz. mell.'!F11)</f>
        <v>0</v>
      </c>
    </row>
    <row r="12" spans="1:12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/>
      <c r="G12" s="142"/>
      <c r="K12" s="110">
        <f t="shared" si="1"/>
        <v>0</v>
      </c>
      <c r="L12" s="404">
        <f>SUM('5.9.a. sz. mell'!F12+'5.9.b. sz. mell.'!F12)</f>
        <v>0</v>
      </c>
    </row>
    <row r="13" spans="1:12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  <c r="K13" s="110">
        <f t="shared" si="1"/>
        <v>0</v>
      </c>
      <c r="L13" s="404">
        <f>SUM('5.9.a. sz. mell'!F13+'5.9.b. sz. mell.'!F13)</f>
        <v>0</v>
      </c>
    </row>
    <row r="14" spans="1:12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  <c r="K14" s="110">
        <f t="shared" si="1"/>
        <v>0</v>
      </c>
      <c r="L14" s="404">
        <f>SUM('5.9.a. sz. mell'!F14+'5.9.b. sz. mell.'!F14)</f>
        <v>0</v>
      </c>
    </row>
    <row r="15" spans="1:12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/>
      <c r="G15" s="142"/>
      <c r="K15" s="110">
        <f t="shared" si="1"/>
        <v>0</v>
      </c>
      <c r="L15" s="404">
        <f>SUM('5.9.a. sz. mell'!F15+'5.9.b. sz. mell.'!F15)</f>
        <v>0</v>
      </c>
    </row>
    <row r="16" spans="1:12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  <c r="K16" s="110">
        <f t="shared" si="1"/>
        <v>0</v>
      </c>
      <c r="L16" s="404"/>
    </row>
    <row r="17" spans="1:12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  <c r="K17" s="110">
        <f t="shared" si="1"/>
        <v>0</v>
      </c>
      <c r="L17" s="404"/>
    </row>
    <row r="18" spans="1:12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  <c r="K18" s="110">
        <f t="shared" si="1"/>
        <v>0</v>
      </c>
      <c r="L18" s="404">
        <f>SUM('5.9.a. sz. mell'!F18+'5.9.b. sz. mell.'!F18)</f>
        <v>0</v>
      </c>
    </row>
    <row r="19" spans="1:12" s="96" customFormat="1" ht="31.5" customHeight="1" thickBot="1" x14ac:dyDescent="0.25">
      <c r="A19" s="93" t="s">
        <v>3</v>
      </c>
      <c r="B19" s="94"/>
      <c r="C19" s="1142" t="s">
        <v>1482</v>
      </c>
      <c r="D19" s="141">
        <f>SUM(D20:D25)</f>
        <v>15092</v>
      </c>
      <c r="E19" s="141">
        <f>SUM(E20:E25)</f>
        <v>15750</v>
      </c>
      <c r="F19" s="141">
        <f>SUM(F20+F24+F25)</f>
        <v>0</v>
      </c>
      <c r="G19" s="141">
        <f>F19/E19*100</f>
        <v>0</v>
      </c>
      <c r="K19" s="110">
        <f t="shared" si="1"/>
        <v>0</v>
      </c>
      <c r="L19" s="404">
        <f>SUM('5.9.a. sz. mell'!F19+'5.9.b. sz. mell.'!F19)</f>
        <v>0</v>
      </c>
    </row>
    <row r="20" spans="1:12" s="99" customFormat="1" ht="15" customHeight="1" x14ac:dyDescent="0.2">
      <c r="A20" s="97"/>
      <c r="B20" s="98" t="s">
        <v>4</v>
      </c>
      <c r="C20" s="1151" t="s">
        <v>1483</v>
      </c>
      <c r="D20" s="142">
        <v>12768</v>
      </c>
      <c r="E20" s="142">
        <v>13426</v>
      </c>
      <c r="F20" s="142">
        <f>SUM(F21:F22)</f>
        <v>0</v>
      </c>
      <c r="G20" s="142">
        <f>F20/E20*100</f>
        <v>0</v>
      </c>
      <c r="K20" s="110">
        <f t="shared" si="1"/>
        <v>0</v>
      </c>
      <c r="L20" s="404">
        <f>SUM('5.9.a. sz. mell'!F20+'5.9.b. sz. mell.'!F20)</f>
        <v>0</v>
      </c>
    </row>
    <row r="21" spans="1:12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  <c r="K21" s="110">
        <f t="shared" si="1"/>
        <v>0</v>
      </c>
      <c r="L21" s="404"/>
    </row>
    <row r="22" spans="1:12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/>
      <c r="G22" s="142"/>
      <c r="K22" s="110">
        <f t="shared" si="1"/>
        <v>0</v>
      </c>
      <c r="L22" s="404">
        <f>SUM('5.9.a. sz. mell'!F22+'5.9.b. sz. mell.'!F22)</f>
        <v>0</v>
      </c>
    </row>
    <row r="23" spans="1:12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  <c r="K23" s="110">
        <f t="shared" si="1"/>
        <v>0</v>
      </c>
      <c r="L23" s="404">
        <f>SUM('5.9.a. sz. mell'!F23+'5.9.b. sz. mell.'!F23)</f>
        <v>0</v>
      </c>
    </row>
    <row r="24" spans="1:12" s="99" customFormat="1" ht="15" customHeight="1" x14ac:dyDescent="0.2">
      <c r="A24" s="97"/>
      <c r="B24" s="1148" t="s">
        <v>6</v>
      </c>
      <c r="C24" s="1144" t="s">
        <v>1485</v>
      </c>
      <c r="D24" s="142">
        <v>2324</v>
      </c>
      <c r="E24" s="142">
        <v>2324</v>
      </c>
      <c r="F24" s="142"/>
      <c r="G24" s="142">
        <f>F24/E24*100</f>
        <v>0</v>
      </c>
      <c r="K24" s="110">
        <f t="shared" si="1"/>
        <v>0</v>
      </c>
      <c r="L24" s="404">
        <f>SUM('5.9.a. sz. mell'!F24+'5.9.b. sz. mell.'!F24)</f>
        <v>0</v>
      </c>
    </row>
    <row r="25" spans="1:12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  <c r="K25" s="110">
        <f t="shared" si="1"/>
        <v>0</v>
      </c>
      <c r="L25" s="404">
        <f>SUM('5.9.a. sz. mell'!F25+'5.9.b. sz. mell.'!F25)</f>
        <v>0</v>
      </c>
    </row>
    <row r="26" spans="1:12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f>SUM(F27)</f>
        <v>0</v>
      </c>
      <c r="G26" s="119"/>
      <c r="K26" s="110">
        <f t="shared" si="1"/>
        <v>0</v>
      </c>
      <c r="L26" s="404">
        <f>SUM('5.9.a. sz. mell'!F26+'5.9.b. sz. mell.'!F26)</f>
        <v>0</v>
      </c>
    </row>
    <row r="27" spans="1:12" s="99" customFormat="1" ht="32.2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  <c r="K27" s="110">
        <f t="shared" si="1"/>
        <v>0</v>
      </c>
      <c r="L27" s="404"/>
    </row>
    <row r="28" spans="1:12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>
        <f>SUM(F29:F31)</f>
        <v>0</v>
      </c>
      <c r="G28" s="1224"/>
      <c r="K28" s="110">
        <f t="shared" si="1"/>
        <v>0</v>
      </c>
      <c r="L28" s="404"/>
    </row>
    <row r="29" spans="1:12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  <c r="K29" s="110">
        <f t="shared" si="1"/>
        <v>0</v>
      </c>
      <c r="L29" s="404"/>
    </row>
    <row r="30" spans="1:12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  <c r="K30" s="110">
        <f t="shared" si="1"/>
        <v>0</v>
      </c>
      <c r="L30" s="404"/>
    </row>
    <row r="31" spans="1:12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  <c r="K31" s="110">
        <f t="shared" si="1"/>
        <v>0</v>
      </c>
      <c r="L31" s="404"/>
    </row>
    <row r="32" spans="1:12" s="96" customFormat="1" ht="31.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  <c r="K32" s="110">
        <f t="shared" si="1"/>
        <v>0</v>
      </c>
      <c r="L32" s="404">
        <f>SUM('5.9.a. sz. mell'!F32+'5.9.b. sz. mell.'!F32)</f>
        <v>0</v>
      </c>
    </row>
    <row r="33" spans="1:12" s="96" customFormat="1" ht="31.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  <c r="K33" s="110">
        <f t="shared" si="1"/>
        <v>0</v>
      </c>
      <c r="L33" s="404"/>
    </row>
    <row r="34" spans="1:12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>
        <f>SUM(F35)</f>
        <v>0</v>
      </c>
      <c r="G34" s="1217"/>
      <c r="K34" s="110">
        <f t="shared" si="1"/>
        <v>0</v>
      </c>
    </row>
    <row r="35" spans="1:12" s="96" customFormat="1" ht="30.7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  <c r="K35" s="110">
        <f t="shared" si="1"/>
        <v>0</v>
      </c>
    </row>
    <row r="36" spans="1:12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</v>
      </c>
      <c r="F36" s="148">
        <f>SUM(F37:F39)</f>
        <v>44825</v>
      </c>
      <c r="G36" s="148"/>
      <c r="K36" s="110">
        <f t="shared" si="1"/>
        <v>0</v>
      </c>
      <c r="L36" s="404">
        <f>SUM('5.9.a. sz. mell'!F36+'5.9.b. sz. mell.'!F36)</f>
        <v>44825</v>
      </c>
    </row>
    <row r="37" spans="1:12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16</v>
      </c>
      <c r="F37" s="149"/>
      <c r="G37" s="149"/>
      <c r="K37" s="110">
        <f t="shared" si="1"/>
        <v>0</v>
      </c>
      <c r="L37" s="404">
        <f>SUM('5.9.a. sz. mell'!F37+'5.9.b. sz. mell.'!F37)</f>
        <v>0</v>
      </c>
    </row>
    <row r="38" spans="1:12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  <c r="K38" s="110">
        <f t="shared" si="1"/>
        <v>0</v>
      </c>
      <c r="L38" s="404">
        <f>SUM('5.9.a. sz. mell'!F38+'5.9.b. sz. mell.'!F38)</f>
        <v>0</v>
      </c>
    </row>
    <row r="39" spans="1:12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26133</v>
      </c>
      <c r="E39" s="119">
        <v>26791</v>
      </c>
      <c r="F39" s="1188">
        <f>SUM(F40:F41)</f>
        <v>44825</v>
      </c>
      <c r="G39" s="119">
        <f>F39/E39*100</f>
        <v>167.31365010637899</v>
      </c>
      <c r="I39" s="110"/>
      <c r="J39" s="110"/>
      <c r="K39" s="110">
        <f>SUM(F39-L39)</f>
        <v>0</v>
      </c>
      <c r="L39" s="404">
        <f>SUM('5.9.a. sz. mell'!F39+'5.9.b. sz. mell.'!F39)</f>
        <v>44825</v>
      </c>
    </row>
    <row r="40" spans="1:12" s="99" customFormat="1" ht="15" customHeight="1" thickBot="1" x14ac:dyDescent="0.25">
      <c r="A40" s="1408"/>
      <c r="B40" s="1409" t="s">
        <v>1777</v>
      </c>
      <c r="C40" s="1410" t="s">
        <v>1775</v>
      </c>
      <c r="D40" s="1224"/>
      <c r="E40" s="1224"/>
      <c r="F40" s="1411">
        <v>11573</v>
      </c>
      <c r="G40" s="1224"/>
      <c r="I40" s="110"/>
      <c r="J40" s="110"/>
      <c r="K40" s="110">
        <f t="shared" ref="K40:K58" si="3">SUM(F40-L40)</f>
        <v>0</v>
      </c>
      <c r="L40" s="404">
        <f>SUM('5.9.a. sz. mell'!F40+'5.9.b. sz. mell.'!F40)</f>
        <v>11573</v>
      </c>
    </row>
    <row r="41" spans="1:12" s="99" customFormat="1" ht="15" customHeight="1" thickBot="1" x14ac:dyDescent="0.25">
      <c r="A41" s="1408"/>
      <c r="B41" s="1409" t="s">
        <v>1778</v>
      </c>
      <c r="C41" s="1410" t="s">
        <v>1776</v>
      </c>
      <c r="D41" s="1224"/>
      <c r="E41" s="1224"/>
      <c r="F41" s="1411">
        <v>33252</v>
      </c>
      <c r="G41" s="1224"/>
      <c r="I41" s="110"/>
      <c r="J41" s="110"/>
      <c r="K41" s="110">
        <f t="shared" si="3"/>
        <v>0</v>
      </c>
      <c r="L41" s="404">
        <f>SUM('5.9.a. sz. mell'!F41+'5.9.b. sz. mell.'!F41)</f>
        <v>33252</v>
      </c>
    </row>
    <row r="42" spans="1:12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SUM(D8,D19,D26,D32,D36,D39)</f>
        <v>45344</v>
      </c>
      <c r="E42" s="152">
        <f>SUM(E8,E19,E26,E32,E36,E39)</f>
        <v>46676</v>
      </c>
      <c r="F42" s="152">
        <f>SUM(F8,F19,F26,F32,F36)</f>
        <v>49150</v>
      </c>
      <c r="G42" s="152">
        <f>F42/E42*100</f>
        <v>105.30036849772904</v>
      </c>
      <c r="I42" s="110"/>
      <c r="J42" s="110"/>
      <c r="K42" s="110">
        <f t="shared" si="3"/>
        <v>0</v>
      </c>
      <c r="L42" s="404">
        <f>SUM('5.9.a. sz. mell'!F42+'5.9.b. sz. mell.'!F42)</f>
        <v>49150</v>
      </c>
    </row>
    <row r="43" spans="1:12" s="99" customFormat="1" ht="15" customHeight="1" thickBot="1" x14ac:dyDescent="0.25">
      <c r="A43" s="336"/>
      <c r="B43" s="336"/>
      <c r="C43" s="355"/>
      <c r="D43" s="388"/>
      <c r="E43" s="388"/>
      <c r="F43" s="388"/>
      <c r="G43" s="388"/>
      <c r="K43" s="110">
        <f t="shared" si="3"/>
        <v>0</v>
      </c>
      <c r="L43" s="404">
        <f>SUM('5.9.a. sz. mell'!F43+'5.9.b. sz. mell.'!F43)</f>
        <v>0</v>
      </c>
    </row>
    <row r="44" spans="1:12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  <c r="K44" s="110">
        <f t="shared" si="3"/>
        <v>0</v>
      </c>
      <c r="L44" s="404">
        <f>SUM('5.9.a. sz. mell'!F44+'5.9.b. sz. mell.'!F44)</f>
        <v>0</v>
      </c>
    </row>
    <row r="45" spans="1:12" s="96" customFormat="1" ht="15" customHeight="1" x14ac:dyDescent="0.2">
      <c r="A45" s="93" t="s">
        <v>2</v>
      </c>
      <c r="B45" s="2"/>
      <c r="C45" s="10" t="s">
        <v>49</v>
      </c>
      <c r="D45" s="141">
        <f>SUM(D46:D50)</f>
        <v>45344</v>
      </c>
      <c r="E45" s="141">
        <f t="shared" ref="E45:F45" si="4">SUM(E46:E50)</f>
        <v>46190</v>
      </c>
      <c r="F45" s="141">
        <f t="shared" si="4"/>
        <v>48477</v>
      </c>
      <c r="G45" s="141">
        <f>F45/E45*100</f>
        <v>104.95128815760988</v>
      </c>
      <c r="K45" s="110">
        <f t="shared" si="3"/>
        <v>0</v>
      </c>
      <c r="L45" s="404">
        <f>SUM('5.9.a. sz. mell'!F45+'5.9.b. sz. mell.'!F45)</f>
        <v>48477</v>
      </c>
    </row>
    <row r="46" spans="1:12" s="99" customFormat="1" ht="15" customHeight="1" x14ac:dyDescent="0.2">
      <c r="A46" s="113"/>
      <c r="B46" s="124" t="s">
        <v>50</v>
      </c>
      <c r="C46" s="7" t="s">
        <v>51</v>
      </c>
      <c r="D46" s="147">
        <v>17907</v>
      </c>
      <c r="E46" s="147">
        <v>18593</v>
      </c>
      <c r="F46" s="147">
        <v>24131</v>
      </c>
      <c r="G46" s="147">
        <f>F46/E46*100</f>
        <v>129.78540310869681</v>
      </c>
      <c r="K46" s="110">
        <f t="shared" si="3"/>
        <v>0</v>
      </c>
      <c r="L46" s="404">
        <f>SUM('5.9.a. sz. mell'!F46+'5.9.b. sz. mell.'!F46)</f>
        <v>24131</v>
      </c>
    </row>
    <row r="47" spans="1:12" s="99" customFormat="1" ht="15" customHeight="1" x14ac:dyDescent="0.2">
      <c r="A47" s="97"/>
      <c r="B47" s="109" t="s">
        <v>52</v>
      </c>
      <c r="C47" s="3" t="s">
        <v>53</v>
      </c>
      <c r="D47" s="142">
        <v>4749</v>
      </c>
      <c r="E47" s="142">
        <v>4934</v>
      </c>
      <c r="F47" s="142">
        <v>6267</v>
      </c>
      <c r="G47" s="142">
        <f>F47/E47*100</f>
        <v>127.01661937576003</v>
      </c>
      <c r="K47" s="110">
        <f t="shared" si="3"/>
        <v>0</v>
      </c>
      <c r="L47" s="404">
        <f>SUM('5.9.a. sz. mell'!F47+'5.9.b. sz. mell.'!F47)</f>
        <v>6267</v>
      </c>
    </row>
    <row r="48" spans="1:12" s="99" customFormat="1" ht="15" customHeight="1" x14ac:dyDescent="0.2">
      <c r="A48" s="97"/>
      <c r="B48" s="109" t="s">
        <v>54</v>
      </c>
      <c r="C48" s="3" t="s">
        <v>55</v>
      </c>
      <c r="D48" s="142">
        <v>16849</v>
      </c>
      <c r="E48" s="142">
        <v>16824</v>
      </c>
      <c r="F48" s="142">
        <v>18079</v>
      </c>
      <c r="G48" s="142">
        <f>F48/E48*100</f>
        <v>107.45958155016643</v>
      </c>
      <c r="K48" s="110">
        <f t="shared" si="3"/>
        <v>0</v>
      </c>
      <c r="L48" s="404">
        <f>SUM('5.9.a. sz. mell'!F48+'5.9.b. sz. mell.'!F48)</f>
        <v>18079</v>
      </c>
    </row>
    <row r="49" spans="1:12" s="99" customFormat="1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  <c r="K49" s="110">
        <f t="shared" si="3"/>
        <v>0</v>
      </c>
      <c r="L49" s="404">
        <f>SUM('5.9.a. sz. mell'!F49+'5.9.b. sz. mell.'!F49)</f>
        <v>0</v>
      </c>
    </row>
    <row r="50" spans="1:12" s="99" customFormat="1" ht="15" customHeight="1" x14ac:dyDescent="0.2">
      <c r="A50" s="97"/>
      <c r="B50" s="109" t="s">
        <v>58</v>
      </c>
      <c r="C50" s="3" t="s">
        <v>59</v>
      </c>
      <c r="D50" s="142">
        <v>5839</v>
      </c>
      <c r="E50" s="142">
        <v>5839</v>
      </c>
      <c r="F50" s="142"/>
      <c r="G50" s="142">
        <f>F50/E50*100</f>
        <v>0</v>
      </c>
      <c r="K50" s="110">
        <f t="shared" si="3"/>
        <v>0</v>
      </c>
      <c r="L50" s="404">
        <f>SUM('5.9.a. sz. mell'!F50+'5.9.b. sz. mell.'!F50)</f>
        <v>0</v>
      </c>
    </row>
    <row r="51" spans="1:12" s="99" customFormat="1" ht="15" customHeight="1" x14ac:dyDescent="0.2">
      <c r="A51" s="93" t="s">
        <v>3</v>
      </c>
      <c r="B51" s="2"/>
      <c r="C51" s="1156" t="s">
        <v>1513</v>
      </c>
      <c r="D51" s="141">
        <f>SUM(D52:D54)</f>
        <v>0</v>
      </c>
      <c r="E51" s="141">
        <f>SUM(E52:E54)</f>
        <v>486</v>
      </c>
      <c r="F51" s="141">
        <f>SUM(F52:F54)</f>
        <v>673</v>
      </c>
      <c r="G51" s="141"/>
      <c r="K51" s="110">
        <f t="shared" si="3"/>
        <v>0</v>
      </c>
      <c r="L51" s="404">
        <f>SUM('5.9.a. sz. mell'!F51+'5.9.b. sz. mell.'!F51)</f>
        <v>673</v>
      </c>
    </row>
    <row r="52" spans="1:12" s="96" customFormat="1" ht="15" customHeight="1" x14ac:dyDescent="0.2">
      <c r="A52" s="113"/>
      <c r="B52" s="1165" t="s">
        <v>4</v>
      </c>
      <c r="C52" s="1151" t="s">
        <v>1173</v>
      </c>
      <c r="D52" s="147">
        <v>0</v>
      </c>
      <c r="E52" s="147">
        <v>486</v>
      </c>
      <c r="F52" s="147">
        <v>673</v>
      </c>
      <c r="G52" s="147"/>
      <c r="K52" s="110">
        <f t="shared" si="3"/>
        <v>0</v>
      </c>
      <c r="L52" s="404">
        <f>SUM('5.9.a. sz. mell'!F52+'5.9.b. sz. mell.'!F52)</f>
        <v>673</v>
      </c>
    </row>
    <row r="53" spans="1:12" s="99" customFormat="1" ht="15" customHeight="1" x14ac:dyDescent="0.2">
      <c r="A53" s="97"/>
      <c r="B53" s="1166" t="s">
        <v>6</v>
      </c>
      <c r="C53" s="1144" t="s">
        <v>64</v>
      </c>
      <c r="D53" s="142">
        <v>0</v>
      </c>
      <c r="E53" s="142">
        <v>0</v>
      </c>
      <c r="F53" s="142">
        <v>0</v>
      </c>
      <c r="G53" s="142"/>
      <c r="K53" s="110">
        <f t="shared" si="3"/>
        <v>0</v>
      </c>
      <c r="L53" s="404">
        <f>SUM('5.9.a. sz. mell'!F53+'5.9.b. sz. mell.'!F53)</f>
        <v>0</v>
      </c>
    </row>
    <row r="54" spans="1:12" s="99" customFormat="1" ht="12.75" customHeight="1" thickBot="1" x14ac:dyDescent="0.25">
      <c r="A54" s="97"/>
      <c r="B54" s="1166" t="s">
        <v>7</v>
      </c>
      <c r="C54" s="1144" t="s">
        <v>1500</v>
      </c>
      <c r="D54" s="142">
        <v>0</v>
      </c>
      <c r="E54" s="142">
        <v>0</v>
      </c>
      <c r="F54" s="142">
        <v>0</v>
      </c>
      <c r="G54" s="142"/>
      <c r="K54" s="110">
        <f t="shared" si="3"/>
        <v>0</v>
      </c>
      <c r="L54" s="404">
        <f>SUM('5.9.a. sz. mell'!F54+'5.9.b. sz. mell.'!F54)</f>
        <v>0</v>
      </c>
    </row>
    <row r="55" spans="1:12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+D45+D51+#REF!</f>
        <v>#REF!</v>
      </c>
      <c r="E55" s="152" t="e">
        <f>+E45+E51+#REF!</f>
        <v>#REF!</v>
      </c>
      <c r="F55" s="152">
        <f>+F45+F51</f>
        <v>49150</v>
      </c>
      <c r="G55" s="152" t="e">
        <f>F55/E55*100</f>
        <v>#REF!</v>
      </c>
      <c r="K55" s="110">
        <f t="shared" si="3"/>
        <v>0</v>
      </c>
      <c r="L55" s="404">
        <f>SUM('5.9.a. sz. mell'!F55+'5.9.b. sz. mell.'!F55)</f>
        <v>49150</v>
      </c>
    </row>
    <row r="56" spans="1:12" s="99" customFormat="1" ht="15" customHeight="1" x14ac:dyDescent="0.2">
      <c r="A56" s="131"/>
      <c r="B56" s="132"/>
      <c r="C56" s="132"/>
      <c r="D56" s="132"/>
      <c r="E56" s="132"/>
      <c r="F56" s="132"/>
      <c r="G56" s="132"/>
      <c r="K56" s="110">
        <f t="shared" si="3"/>
        <v>0</v>
      </c>
      <c r="L56" s="404">
        <f>SUM('5.9.a. sz. mell'!F56+'5.9.b. sz. mell.'!F56)</f>
        <v>0</v>
      </c>
    </row>
    <row r="57" spans="1:12" s="99" customFormat="1" ht="15" customHeight="1" x14ac:dyDescent="0.2">
      <c r="A57" s="133" t="s">
        <v>136</v>
      </c>
      <c r="B57" s="134"/>
      <c r="C57" s="135"/>
      <c r="D57" s="136">
        <v>10.5</v>
      </c>
      <c r="E57" s="136">
        <v>10.5</v>
      </c>
      <c r="F57" s="136">
        <v>13</v>
      </c>
      <c r="G57" s="136"/>
      <c r="K57" s="110">
        <f t="shared" si="3"/>
        <v>0</v>
      </c>
      <c r="L57" s="404">
        <f>SUM('5.9.a. sz. mell'!F57+'5.9.b. sz. mell.'!F57)</f>
        <v>13</v>
      </c>
    </row>
    <row r="58" spans="1:12" s="99" customFormat="1" ht="15" customHeight="1" x14ac:dyDescent="0.2">
      <c r="A58" s="133" t="s">
        <v>137</v>
      </c>
      <c r="B58" s="134"/>
      <c r="C58" s="135"/>
      <c r="D58" s="356"/>
      <c r="E58" s="356"/>
      <c r="F58" s="356"/>
      <c r="G58" s="356"/>
      <c r="K58" s="110">
        <f t="shared" si="3"/>
        <v>0</v>
      </c>
      <c r="L58" s="404">
        <f>SUM('5.9.a. sz. mell'!F58+'5.9.b. sz. mell.'!F58)</f>
        <v>0</v>
      </c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19685039370078741" right="0.23622047244094491" top="0.19685039370078741" bottom="0.35433070866141736" header="0.39370078740157483" footer="0.15748031496062992"/>
  <pageSetup paperSize="9" scale="84" firstPageNumber="83" orientation="portrait" r:id="rId1"/>
  <headerFooter alignWithMargins="0">
    <oddFooter>&amp;C&amp;11-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58"/>
  <sheetViews>
    <sheetView view="pageBreakPreview" topLeftCell="A31" zoomScaleNormal="130" zoomScaleSheetLayoutView="100" workbookViewId="0">
      <selection activeCell="H43" sqref="H43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3.6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1821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615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1540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440"/>
      <c r="D4" s="1527" t="s">
        <v>1025</v>
      </c>
      <c r="E4" s="1527"/>
      <c r="F4" s="1527"/>
      <c r="G4" s="441" t="s">
        <v>79</v>
      </c>
    </row>
    <row r="5" spans="1:7" s="99" customFormat="1" ht="37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2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36">
        <f>SUM(D9:D18)</f>
        <v>4119</v>
      </c>
      <c r="E8" s="36">
        <f t="shared" ref="E8:F8" si="0">SUM(E9:E18)</f>
        <v>4119</v>
      </c>
      <c r="F8" s="36">
        <f t="shared" si="0"/>
        <v>4325</v>
      </c>
      <c r="G8" s="36">
        <f>F8/E8*100</f>
        <v>105.00121388686574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4119</v>
      </c>
      <c r="E10" s="142">
        <v>4119</v>
      </c>
      <c r="F10" s="142">
        <f>SUM('5.9. sz. mell.'!F10-'5.9.b. sz. mell.'!F10)</f>
        <v>4325</v>
      </c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f>SUM('5.9. sz. mell.'!F11-'5.9.b. sz. mell.'!F11)</f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f>SUM('5.9. sz. mell.'!F12-'5.9.b. sz. mell.'!F12)</f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f>SUM('5.9. sz. mell.'!F13-'5.9.b. sz. mell.'!F13)</f>
        <v>0</v>
      </c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2">
        <f>SUM('5.9. sz. mell.'!F14-'5.9.b. sz. mell.'!F14)</f>
        <v>0</v>
      </c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>
        <f>SUM('5.9. sz. mell.'!F15-'5.9.b. sz. mell.'!F15)</f>
        <v>0</v>
      </c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23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23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2">
        <f>SUM('5.9. sz. mell.'!F18-'5.9.b. sz. mell.'!F18)</f>
        <v>0</v>
      </c>
      <c r="G18" s="145"/>
    </row>
    <row r="19" spans="1:7" s="96" customFormat="1" ht="32.25" customHeight="1" thickBot="1" x14ac:dyDescent="0.25">
      <c r="A19" s="1132" t="s">
        <v>3</v>
      </c>
      <c r="B19" s="94"/>
      <c r="C19" s="1142" t="s">
        <v>1482</v>
      </c>
      <c r="D19" s="141">
        <f>SUM(D20:D25)</f>
        <v>15092</v>
      </c>
      <c r="E19" s="141">
        <f t="shared" ref="E19" si="1">SUM(E20:E25)</f>
        <v>15750</v>
      </c>
      <c r="F19" s="141">
        <f>SUM(F20+F24+F25)</f>
        <v>0</v>
      </c>
      <c r="G19" s="141">
        <f>F19/E19*100</f>
        <v>0</v>
      </c>
    </row>
    <row r="20" spans="1:7" s="99" customFormat="1" ht="15" customHeight="1" x14ac:dyDescent="0.2">
      <c r="A20" s="97"/>
      <c r="B20" s="98" t="s">
        <v>4</v>
      </c>
      <c r="C20" s="1151" t="s">
        <v>1483</v>
      </c>
      <c r="D20" s="142">
        <v>12768</v>
      </c>
      <c r="E20" s="142">
        <v>13426</v>
      </c>
      <c r="F20" s="142">
        <f>SUM(F21:F22)</f>
        <v>0</v>
      </c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/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f>SUM('5.9. sz. mell.'!F23-'5.9.b. sz. mell.'!F23)</f>
        <v>0</v>
      </c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>
        <v>2324</v>
      </c>
      <c r="E24" s="142">
        <v>2324</v>
      </c>
      <c r="F24" s="142">
        <f>SUM('5.9. sz. mell.'!F24-'5.9.b. sz. mell.'!F24)</f>
        <v>0</v>
      </c>
      <c r="G24" s="142">
        <f>F24/E24*100</f>
        <v>0</v>
      </c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f>SUM('5.9. sz. mell.'!F25-'5.9.b. sz. mell.'!F25)</f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26.2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27.7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27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</v>
      </c>
      <c r="F36" s="148">
        <f>SUM(F37:F39)</f>
        <v>41470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16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26133</v>
      </c>
      <c r="E39" s="119">
        <v>26791</v>
      </c>
      <c r="F39" s="142">
        <f>SUM(F40:F41)</f>
        <v>41470</v>
      </c>
      <c r="G39" s="119">
        <f>F39/E39*100</f>
        <v>154.79078795117763</v>
      </c>
      <c r="I39" s="110">
        <f>SUM(F55-F42)</f>
        <v>0</v>
      </c>
    </row>
    <row r="40" spans="1:9" s="99" customFormat="1" ht="15" customHeight="1" thickBot="1" x14ac:dyDescent="0.25">
      <c r="A40" s="1408"/>
      <c r="B40" s="1409" t="s">
        <v>1777</v>
      </c>
      <c r="C40" s="1410" t="s">
        <v>1775</v>
      </c>
      <c r="D40" s="1224"/>
      <c r="E40" s="1224"/>
      <c r="F40" s="1412">
        <f>SUM('5.9. sz. mell.'!F40-'5.9.b. sz. mell.'!F40)</f>
        <v>11324</v>
      </c>
      <c r="G40" s="1224"/>
      <c r="I40" s="110"/>
    </row>
    <row r="41" spans="1:9" s="99" customFormat="1" ht="15" customHeight="1" thickBot="1" x14ac:dyDescent="0.25">
      <c r="A41" s="1408"/>
      <c r="B41" s="1409" t="s">
        <v>1778</v>
      </c>
      <c r="C41" s="1410" t="s">
        <v>1776</v>
      </c>
      <c r="D41" s="1224"/>
      <c r="E41" s="1224"/>
      <c r="F41" s="1412">
        <f>SUM('5.9. sz. mell.'!F41-'5.9.b. sz. mell.'!F41)</f>
        <v>30146</v>
      </c>
      <c r="G41" s="1224"/>
      <c r="I41" s="110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SUM(D8,D19,D26,D32,D36,D39)</f>
        <v>45344</v>
      </c>
      <c r="E42" s="152">
        <f>SUM(E8,E19,E26,E32,E36,E39)</f>
        <v>46676</v>
      </c>
      <c r="F42" s="152">
        <f>SUM(F8,F19,F26,F32,F36)</f>
        <v>45795</v>
      </c>
      <c r="G42" s="152">
        <f>F42/E42*100</f>
        <v>98.112520353072242</v>
      </c>
      <c r="I42" s="110"/>
    </row>
    <row r="43" spans="1:9" s="99" customFormat="1" ht="15" customHeight="1" thickBot="1" x14ac:dyDescent="0.25">
      <c r="A43" s="336"/>
      <c r="B43" s="336"/>
      <c r="C43" s="355"/>
      <c r="D43" s="388"/>
      <c r="E43" s="388"/>
      <c r="F43" s="388"/>
      <c r="G43" s="388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0" t="s">
        <v>49</v>
      </c>
      <c r="D45" s="141">
        <f>SUM(D46:D50)</f>
        <v>45344</v>
      </c>
      <c r="E45" s="141">
        <f t="shared" ref="E45:F45" si="3">SUM(E46:E50)</f>
        <v>46190</v>
      </c>
      <c r="F45" s="141">
        <f t="shared" si="3"/>
        <v>45122</v>
      </c>
      <c r="G45" s="141">
        <f>F45/E45*100</f>
        <v>97.687811214548603</v>
      </c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17907</v>
      </c>
      <c r="E46" s="147">
        <v>18593</v>
      </c>
      <c r="F46" s="142">
        <f>SUM('5.9. sz. mell.'!F46-'5.9.b. sz. mell.'!F46)</f>
        <v>22931</v>
      </c>
      <c r="G46" s="147">
        <f>F46/E46*100</f>
        <v>123.3313612649922</v>
      </c>
    </row>
    <row r="47" spans="1:9" s="99" customFormat="1" ht="15" customHeight="1" x14ac:dyDescent="0.2">
      <c r="A47" s="97"/>
      <c r="B47" s="109" t="s">
        <v>52</v>
      </c>
      <c r="C47" s="3" t="s">
        <v>53</v>
      </c>
      <c r="D47" s="142">
        <v>4749</v>
      </c>
      <c r="E47" s="142">
        <v>4934</v>
      </c>
      <c r="F47" s="142">
        <f>SUM('5.9. sz. mell.'!F47-'5.9.b. sz. mell.'!F47)</f>
        <v>6070</v>
      </c>
      <c r="G47" s="142">
        <f>F47/E47*100</f>
        <v>123.02391568706932</v>
      </c>
    </row>
    <row r="48" spans="1:9" s="99" customFormat="1" ht="15" customHeight="1" x14ac:dyDescent="0.2">
      <c r="A48" s="97"/>
      <c r="B48" s="109" t="s">
        <v>54</v>
      </c>
      <c r="C48" s="3" t="s">
        <v>55</v>
      </c>
      <c r="D48" s="142">
        <v>16849</v>
      </c>
      <c r="E48" s="142">
        <v>16824</v>
      </c>
      <c r="F48" s="142">
        <f>SUM('5.9. sz. mell.'!F48-'5.9.b. sz. mell.'!F48)</f>
        <v>16121</v>
      </c>
      <c r="G48" s="142">
        <f>F48/E48*100</f>
        <v>95.82144555397052</v>
      </c>
    </row>
    <row r="49" spans="1:7" s="99" customFormat="1" ht="15" customHeight="1" x14ac:dyDescent="0.2">
      <c r="A49" s="97"/>
      <c r="B49" s="109" t="s">
        <v>56</v>
      </c>
      <c r="C49" s="3" t="s">
        <v>57</v>
      </c>
      <c r="D49" s="142"/>
      <c r="E49" s="142"/>
      <c r="F49" s="142">
        <f>SUM('5.9. sz. mell.'!F49-'5.9.b. sz. mell.'!F49)</f>
        <v>0</v>
      </c>
      <c r="G49" s="142"/>
    </row>
    <row r="50" spans="1:7" s="99" customFormat="1" ht="15" customHeight="1" thickBot="1" x14ac:dyDescent="0.25">
      <c r="A50" s="97"/>
      <c r="B50" s="109" t="s">
        <v>58</v>
      </c>
      <c r="C50" s="3" t="s">
        <v>59</v>
      </c>
      <c r="D50" s="142">
        <v>5839</v>
      </c>
      <c r="E50" s="142">
        <v>5839</v>
      </c>
      <c r="F50" s="142">
        <f>SUM('5.9. sz. mell.'!F50-'5.9.b. sz. mell.'!F50)</f>
        <v>0</v>
      </c>
      <c r="G50" s="142">
        <f>F50/E50*100</f>
        <v>0</v>
      </c>
    </row>
    <row r="51" spans="1:7" s="99" customFormat="1" ht="15" customHeight="1" thickBot="1" x14ac:dyDescent="0.25">
      <c r="A51" s="1132" t="s">
        <v>3</v>
      </c>
      <c r="B51" s="2"/>
      <c r="C51" s="1156" t="s">
        <v>1513</v>
      </c>
      <c r="D51" s="141">
        <f>SUM(D52:D54)</f>
        <v>0</v>
      </c>
      <c r="E51" s="141">
        <f>SUM(E52:E54)</f>
        <v>486</v>
      </c>
      <c r="F51" s="141">
        <f>SUM(F52:F54)</f>
        <v>673</v>
      </c>
      <c r="G51" s="141"/>
    </row>
    <row r="52" spans="1:7" s="96" customFormat="1" ht="15" customHeight="1" x14ac:dyDescent="0.2">
      <c r="A52" s="113"/>
      <c r="B52" s="1165" t="s">
        <v>4</v>
      </c>
      <c r="C52" s="1151" t="s">
        <v>1173</v>
      </c>
      <c r="D52" s="147">
        <v>0</v>
      </c>
      <c r="E52" s="147">
        <v>486</v>
      </c>
      <c r="F52" s="142">
        <f>SUM('5.9. sz. mell.'!F52-'5.9.b. sz. mell.'!F52)</f>
        <v>673</v>
      </c>
      <c r="G52" s="147"/>
    </row>
    <row r="53" spans="1:7" s="99" customFormat="1" ht="15" customHeight="1" x14ac:dyDescent="0.2">
      <c r="A53" s="97"/>
      <c r="B53" s="1166" t="s">
        <v>6</v>
      </c>
      <c r="C53" s="1144" t="s">
        <v>64</v>
      </c>
      <c r="D53" s="142">
        <v>0</v>
      </c>
      <c r="E53" s="142">
        <v>0</v>
      </c>
      <c r="F53" s="142">
        <v>0</v>
      </c>
      <c r="G53" s="142"/>
    </row>
    <row r="54" spans="1:7" s="99" customFormat="1" ht="30" customHeight="1" thickBot="1" x14ac:dyDescent="0.25">
      <c r="A54" s="97"/>
      <c r="B54" s="1166" t="s">
        <v>7</v>
      </c>
      <c r="C54" s="1144" t="s">
        <v>1500</v>
      </c>
      <c r="D54" s="142">
        <v>0</v>
      </c>
      <c r="E54" s="142">
        <v>0</v>
      </c>
      <c r="F54" s="142">
        <v>0</v>
      </c>
      <c r="G54" s="142"/>
    </row>
    <row r="55" spans="1:7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+D45+D51+#REF!</f>
        <v>#REF!</v>
      </c>
      <c r="E55" s="152" t="e">
        <f>+E45+E51+#REF!</f>
        <v>#REF!</v>
      </c>
      <c r="F55" s="152">
        <f>+F45+F51</f>
        <v>45795</v>
      </c>
      <c r="G55" s="152" t="e">
        <f>F55/E55*100</f>
        <v>#REF!</v>
      </c>
    </row>
    <row r="56" spans="1:7" s="99" customFormat="1" ht="15" customHeight="1" thickBot="1" x14ac:dyDescent="0.25">
      <c r="A56" s="131"/>
      <c r="B56" s="132"/>
      <c r="C56" s="132"/>
      <c r="D56" s="132"/>
      <c r="E56" s="132"/>
      <c r="F56" s="132"/>
      <c r="G56" s="132"/>
    </row>
    <row r="57" spans="1:7" s="99" customFormat="1" ht="15" customHeight="1" thickBot="1" x14ac:dyDescent="0.25">
      <c r="A57" s="133" t="s">
        <v>136</v>
      </c>
      <c r="B57" s="134"/>
      <c r="C57" s="135"/>
      <c r="D57" s="136">
        <v>10.5</v>
      </c>
      <c r="E57" s="136">
        <v>10.5</v>
      </c>
      <c r="F57" s="136">
        <v>13</v>
      </c>
      <c r="G57" s="136"/>
    </row>
    <row r="58" spans="1:7" s="99" customFormat="1" ht="15" customHeight="1" thickBot="1" x14ac:dyDescent="0.25">
      <c r="A58" s="133" t="s">
        <v>137</v>
      </c>
      <c r="B58" s="134"/>
      <c r="C58" s="135"/>
      <c r="D58" s="356"/>
      <c r="E58" s="356"/>
      <c r="F58" s="356"/>
      <c r="G58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23622047244094491" top="0.19685039370078741" bottom="0.35433070866141736" header="0.39370078740157483" footer="0.15748031496062992"/>
  <pageSetup paperSize="9" scale="84" firstPageNumber="83" orientation="portrait" r:id="rId1"/>
  <headerFooter alignWithMargins="0">
    <oddFooter>&amp;C&amp;11-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8"/>
  <sheetViews>
    <sheetView view="pageBreakPreview" topLeftCell="A34" zoomScale="110" zoomScaleNormal="130" zoomScaleSheetLayoutView="110" workbookViewId="0">
      <selection activeCell="F42" sqref="F42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3.6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16384" width="9.33203125" style="76"/>
  </cols>
  <sheetData>
    <row r="1" spans="1:12" s="409" customFormat="1" ht="15" customHeight="1" thickBot="1" x14ac:dyDescent="0.25">
      <c r="A1" s="323"/>
      <c r="B1" s="324"/>
      <c r="C1" s="325"/>
      <c r="D1" s="1552" t="s">
        <v>1822</v>
      </c>
      <c r="E1" s="1552"/>
      <c r="F1" s="1552"/>
      <c r="G1" s="1552"/>
    </row>
    <row r="2" spans="1:12" s="410" customFormat="1" ht="30" customHeight="1" thickBot="1" x14ac:dyDescent="0.25">
      <c r="A2" s="1554" t="s">
        <v>495</v>
      </c>
      <c r="B2" s="1554"/>
      <c r="C2" s="77" t="s">
        <v>615</v>
      </c>
      <c r="D2" s="1523" t="s">
        <v>1024</v>
      </c>
      <c r="E2" s="343"/>
      <c r="F2" s="1523" t="s">
        <v>1420</v>
      </c>
      <c r="G2" s="343"/>
    </row>
    <row r="3" spans="1:12" s="410" customFormat="1" ht="30" customHeight="1" thickBot="1" x14ac:dyDescent="0.25">
      <c r="A3" s="1554" t="s">
        <v>122</v>
      </c>
      <c r="B3" s="1554"/>
      <c r="C3" s="80" t="s">
        <v>1541</v>
      </c>
      <c r="D3" s="1524"/>
      <c r="E3" s="327"/>
      <c r="F3" s="1524"/>
      <c r="G3" s="327"/>
    </row>
    <row r="4" spans="1:12" s="410" customFormat="1" ht="15" customHeight="1" thickBot="1" x14ac:dyDescent="0.3">
      <c r="A4" s="81"/>
      <c r="B4" s="81"/>
      <c r="C4" s="80" t="s">
        <v>1471</v>
      </c>
      <c r="D4" s="1527" t="s">
        <v>1025</v>
      </c>
      <c r="E4" s="1527"/>
      <c r="F4" s="1527"/>
      <c r="G4" s="441" t="s">
        <v>79</v>
      </c>
    </row>
    <row r="5" spans="1:12" s="99" customFormat="1" ht="37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  <c r="L5" s="80"/>
    </row>
    <row r="6" spans="1:12" s="411" customFormat="1" ht="15" customHeight="1" thickBot="1" x14ac:dyDescent="0.25">
      <c r="A6" s="1132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12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12" s="96" customFormat="1" ht="15" customHeight="1" thickBot="1" x14ac:dyDescent="0.25">
      <c r="A8" s="1132" t="s">
        <v>2</v>
      </c>
      <c r="B8" s="94"/>
      <c r="C8" s="1142" t="s">
        <v>1774</v>
      </c>
      <c r="D8" s="36">
        <f>SUM(D9:D18)</f>
        <v>4119</v>
      </c>
      <c r="E8" s="36">
        <f t="shared" ref="E8:F8" si="0">SUM(E9:E18)</f>
        <v>4119</v>
      </c>
      <c r="F8" s="36">
        <f t="shared" si="0"/>
        <v>0</v>
      </c>
      <c r="G8" s="36">
        <f>F8/E8*100</f>
        <v>0</v>
      </c>
    </row>
    <row r="9" spans="1:12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12" s="96" customFormat="1" ht="15" customHeight="1" x14ac:dyDescent="0.2">
      <c r="A10" s="97"/>
      <c r="B10" s="98" t="s">
        <v>52</v>
      </c>
      <c r="C10" s="1144" t="s">
        <v>1473</v>
      </c>
      <c r="D10" s="142">
        <v>4119</v>
      </c>
      <c r="E10" s="142">
        <v>4119</v>
      </c>
      <c r="F10" s="142"/>
      <c r="G10" s="142"/>
    </row>
    <row r="11" spans="1:12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12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/>
      <c r="G12" s="142"/>
    </row>
    <row r="13" spans="1:12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12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</row>
    <row r="15" spans="1:12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/>
      <c r="G15" s="142"/>
    </row>
    <row r="16" spans="1:12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.75" customHeight="1" thickBot="1" x14ac:dyDescent="0.25">
      <c r="A19" s="1132" t="s">
        <v>3</v>
      </c>
      <c r="B19" s="94"/>
      <c r="C19" s="1142" t="s">
        <v>1482</v>
      </c>
      <c r="D19" s="141">
        <f>SUM(D20:D25)</f>
        <v>15092</v>
      </c>
      <c r="E19" s="141">
        <f t="shared" ref="E19" si="1">SUM(E20:E25)</f>
        <v>15750</v>
      </c>
      <c r="F19" s="141">
        <f>SUM(F20+F24+F25)</f>
        <v>0</v>
      </c>
      <c r="G19" s="141">
        <f>F19/E19*100</f>
        <v>0</v>
      </c>
    </row>
    <row r="20" spans="1:7" s="99" customFormat="1" ht="31.5" customHeight="1" x14ac:dyDescent="0.2">
      <c r="A20" s="97"/>
      <c r="B20" s="98" t="s">
        <v>4</v>
      </c>
      <c r="C20" s="1151" t="s">
        <v>1483</v>
      </c>
      <c r="D20" s="142">
        <v>12768</v>
      </c>
      <c r="E20" s="142">
        <v>13426</v>
      </c>
      <c r="F20" s="142"/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/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>
        <v>2324</v>
      </c>
      <c r="E24" s="142">
        <v>2324</v>
      </c>
      <c r="F24" s="142"/>
      <c r="G24" s="142">
        <f>F24/E24*100</f>
        <v>0</v>
      </c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1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31.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30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30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</v>
      </c>
      <c r="F36" s="148">
        <f>SUM(F37:F39)</f>
        <v>3355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16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26133</v>
      </c>
      <c r="E39" s="119">
        <v>26791</v>
      </c>
      <c r="F39" s="119">
        <f>SUM(F40:F41)</f>
        <v>3355</v>
      </c>
      <c r="G39" s="119">
        <f>F39/E39*100</f>
        <v>12.522862155201372</v>
      </c>
      <c r="I39" s="110">
        <f>SUM(F55-F42)</f>
        <v>0</v>
      </c>
    </row>
    <row r="40" spans="1:9" s="99" customFormat="1" ht="15" customHeight="1" thickBot="1" x14ac:dyDescent="0.25">
      <c r="A40" s="1408"/>
      <c r="B40" s="1409" t="s">
        <v>1777</v>
      </c>
      <c r="C40" s="1410" t="s">
        <v>1775</v>
      </c>
      <c r="D40" s="1224"/>
      <c r="E40" s="1224"/>
      <c r="F40" s="1411">
        <v>249</v>
      </c>
      <c r="G40" s="1224"/>
      <c r="I40" s="110"/>
    </row>
    <row r="41" spans="1:9" s="99" customFormat="1" ht="15" customHeight="1" thickBot="1" x14ac:dyDescent="0.25">
      <c r="A41" s="1408"/>
      <c r="B41" s="1409" t="s">
        <v>1778</v>
      </c>
      <c r="C41" s="1410" t="s">
        <v>1776</v>
      </c>
      <c r="D41" s="1224"/>
      <c r="E41" s="1224"/>
      <c r="F41" s="1411">
        <v>3106</v>
      </c>
      <c r="G41" s="1224"/>
      <c r="I41" s="110"/>
    </row>
    <row r="42" spans="1:9" s="99" customFormat="1" ht="15" customHeight="1" thickBot="1" x14ac:dyDescent="0.25">
      <c r="A42" s="150" t="s">
        <v>38</v>
      </c>
      <c r="B42" s="151"/>
      <c r="C42" s="354" t="s">
        <v>510</v>
      </c>
      <c r="D42" s="152">
        <f>SUM(D8,D19,D26,D32,D36,D39)</f>
        <v>45344</v>
      </c>
      <c r="E42" s="152">
        <f>SUM(E8,E19,E26,E32,E36,E39)</f>
        <v>46676</v>
      </c>
      <c r="F42" s="152">
        <f>SUM(F8,F19,F26,F32,F36,)</f>
        <v>3355</v>
      </c>
      <c r="G42" s="152">
        <f>F42/E42*100</f>
        <v>7.1878481446567832</v>
      </c>
      <c r="I42" s="110"/>
    </row>
    <row r="43" spans="1:9" s="99" customFormat="1" ht="15" customHeight="1" thickBot="1" x14ac:dyDescent="0.25">
      <c r="A43" s="336"/>
      <c r="B43" s="336"/>
      <c r="C43" s="355"/>
      <c r="D43" s="388"/>
      <c r="E43" s="388"/>
      <c r="F43" s="388"/>
      <c r="G43" s="388"/>
    </row>
    <row r="44" spans="1:9" s="411" customFormat="1" ht="15" customHeight="1" thickBot="1" x14ac:dyDescent="0.25">
      <c r="A44" s="150"/>
      <c r="B44" s="151"/>
      <c r="C44" s="387" t="s">
        <v>82</v>
      </c>
      <c r="D44" s="152"/>
      <c r="E44" s="152"/>
      <c r="F44" s="152"/>
      <c r="G44" s="152"/>
    </row>
    <row r="45" spans="1:9" s="96" customFormat="1" ht="15" customHeight="1" thickBot="1" x14ac:dyDescent="0.25">
      <c r="A45" s="1132" t="s">
        <v>2</v>
      </c>
      <c r="B45" s="2"/>
      <c r="C45" s="10" t="s">
        <v>49</v>
      </c>
      <c r="D45" s="141">
        <f>SUM(D46:D50)</f>
        <v>45344</v>
      </c>
      <c r="E45" s="141">
        <f t="shared" ref="E45:F45" si="3">SUM(E46:E50)</f>
        <v>46190</v>
      </c>
      <c r="F45" s="141">
        <f t="shared" si="3"/>
        <v>3355</v>
      </c>
      <c r="G45" s="141">
        <f>F45/E45*100</f>
        <v>7.2634769430612689</v>
      </c>
    </row>
    <row r="46" spans="1:9" s="99" customFormat="1" ht="15" customHeight="1" x14ac:dyDescent="0.2">
      <c r="A46" s="113"/>
      <c r="B46" s="124" t="s">
        <v>50</v>
      </c>
      <c r="C46" s="7" t="s">
        <v>51</v>
      </c>
      <c r="D46" s="147">
        <v>17907</v>
      </c>
      <c r="E46" s="147">
        <v>18593</v>
      </c>
      <c r="F46" s="147">
        <v>1200</v>
      </c>
      <c r="G46" s="147">
        <f>F46/E46*100</f>
        <v>6.454041843704621</v>
      </c>
    </row>
    <row r="47" spans="1:9" s="99" customFormat="1" ht="15" customHeight="1" x14ac:dyDescent="0.2">
      <c r="A47" s="97"/>
      <c r="B47" s="109" t="s">
        <v>52</v>
      </c>
      <c r="C47" s="3" t="s">
        <v>53</v>
      </c>
      <c r="D47" s="142">
        <v>4749</v>
      </c>
      <c r="E47" s="142">
        <v>4934</v>
      </c>
      <c r="F47" s="142">
        <v>197</v>
      </c>
      <c r="G47" s="142">
        <f>F47/E47*100</f>
        <v>3.992703688690717</v>
      </c>
    </row>
    <row r="48" spans="1:9" s="99" customFormat="1" ht="15" customHeight="1" x14ac:dyDescent="0.2">
      <c r="A48" s="97"/>
      <c r="B48" s="109" t="s">
        <v>54</v>
      </c>
      <c r="C48" s="3" t="s">
        <v>55</v>
      </c>
      <c r="D48" s="142">
        <v>16849</v>
      </c>
      <c r="E48" s="142">
        <v>16824</v>
      </c>
      <c r="F48" s="142">
        <v>1958</v>
      </c>
      <c r="G48" s="142">
        <f>F48/E48*100</f>
        <v>11.63813599619591</v>
      </c>
    </row>
    <row r="49" spans="1:7" s="99" customFormat="1" ht="15" customHeight="1" x14ac:dyDescent="0.2">
      <c r="A49" s="97"/>
      <c r="B49" s="109" t="s">
        <v>56</v>
      </c>
      <c r="C49" s="3" t="s">
        <v>57</v>
      </c>
      <c r="D49" s="142"/>
      <c r="E49" s="142"/>
      <c r="F49" s="142"/>
      <c r="G49" s="142"/>
    </row>
    <row r="50" spans="1:7" s="99" customFormat="1" ht="15" customHeight="1" thickBot="1" x14ac:dyDescent="0.25">
      <c r="A50" s="97"/>
      <c r="B50" s="109" t="s">
        <v>58</v>
      </c>
      <c r="C50" s="3" t="s">
        <v>59</v>
      </c>
      <c r="D50" s="142">
        <v>5839</v>
      </c>
      <c r="E50" s="142">
        <v>5839</v>
      </c>
      <c r="F50" s="142"/>
      <c r="G50" s="142">
        <f>F50/E50*100</f>
        <v>0</v>
      </c>
    </row>
    <row r="51" spans="1:7" s="99" customFormat="1" ht="15" customHeight="1" thickBot="1" x14ac:dyDescent="0.25">
      <c r="A51" s="1208" t="s">
        <v>3</v>
      </c>
      <c r="B51" s="2"/>
      <c r="C51" s="1156" t="s">
        <v>1513</v>
      </c>
      <c r="D51" s="141">
        <f>SUM(D52:D54)</f>
        <v>0</v>
      </c>
      <c r="E51" s="141">
        <f>SUM(E52:E54)</f>
        <v>486</v>
      </c>
      <c r="F51" s="141">
        <f>SUM(F52:F54)</f>
        <v>0</v>
      </c>
      <c r="G51" s="141"/>
    </row>
    <row r="52" spans="1:7" s="96" customFormat="1" ht="15" customHeight="1" x14ac:dyDescent="0.2">
      <c r="A52" s="113"/>
      <c r="B52" s="1165" t="s">
        <v>4</v>
      </c>
      <c r="C52" s="1151" t="s">
        <v>1173</v>
      </c>
      <c r="D52" s="147">
        <v>0</v>
      </c>
      <c r="E52" s="147">
        <v>486</v>
      </c>
      <c r="F52" s="147"/>
      <c r="G52" s="147"/>
    </row>
    <row r="53" spans="1:7" s="99" customFormat="1" ht="15" customHeight="1" x14ac:dyDescent="0.2">
      <c r="A53" s="97"/>
      <c r="B53" s="1166" t="s">
        <v>6</v>
      </c>
      <c r="C53" s="1144" t="s">
        <v>64</v>
      </c>
      <c r="D53" s="142">
        <v>0</v>
      </c>
      <c r="E53" s="142">
        <v>0</v>
      </c>
      <c r="F53" s="142">
        <v>0</v>
      </c>
      <c r="G53" s="142"/>
    </row>
    <row r="54" spans="1:7" s="99" customFormat="1" ht="30" customHeight="1" thickBot="1" x14ac:dyDescent="0.25">
      <c r="A54" s="97"/>
      <c r="B54" s="1166" t="s">
        <v>7</v>
      </c>
      <c r="C54" s="1144" t="s">
        <v>1500</v>
      </c>
      <c r="D54" s="142">
        <v>0</v>
      </c>
      <c r="E54" s="142">
        <v>0</v>
      </c>
      <c r="F54" s="142">
        <v>0</v>
      </c>
      <c r="G54" s="142"/>
    </row>
    <row r="55" spans="1:7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+D45+D51+#REF!</f>
        <v>#REF!</v>
      </c>
      <c r="E55" s="152" t="e">
        <f>+E45+E51+#REF!</f>
        <v>#REF!</v>
      </c>
      <c r="F55" s="152">
        <f>+F45+F51</f>
        <v>3355</v>
      </c>
      <c r="G55" s="152" t="e">
        <f>F55/E55*100</f>
        <v>#REF!</v>
      </c>
    </row>
    <row r="56" spans="1:7" s="99" customFormat="1" ht="15" customHeight="1" thickBot="1" x14ac:dyDescent="0.25">
      <c r="A56" s="131"/>
      <c r="B56" s="132"/>
      <c r="C56" s="132"/>
      <c r="D56" s="132"/>
      <c r="E56" s="132"/>
      <c r="F56" s="132"/>
      <c r="G56" s="132"/>
    </row>
    <row r="57" spans="1:7" s="99" customFormat="1" ht="15" customHeight="1" thickBot="1" x14ac:dyDescent="0.25">
      <c r="A57" s="133" t="s">
        <v>136</v>
      </c>
      <c r="B57" s="134"/>
      <c r="C57" s="135"/>
      <c r="D57" s="136">
        <v>10.5</v>
      </c>
      <c r="E57" s="136">
        <v>10.5</v>
      </c>
      <c r="F57" s="136">
        <v>0</v>
      </c>
      <c r="G57" s="136"/>
    </row>
    <row r="58" spans="1:7" s="99" customFormat="1" ht="15" customHeight="1" thickBot="1" x14ac:dyDescent="0.25">
      <c r="A58" s="133" t="s">
        <v>137</v>
      </c>
      <c r="B58" s="134"/>
      <c r="C58" s="135"/>
      <c r="D58" s="356"/>
      <c r="E58" s="356"/>
      <c r="F58" s="356"/>
      <c r="G58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23622047244094491" top="0.19685039370078741" bottom="0.35433070866141736" header="0.39370078740157483" footer="0.15748031496062992"/>
  <pageSetup paperSize="9" scale="84" firstPageNumber="83" orientation="portrait" r:id="rId1"/>
  <headerFooter alignWithMargins="0">
    <oddFooter>&amp;C&amp;11-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57"/>
  <sheetViews>
    <sheetView view="pageBreakPreview" zoomScale="110" zoomScaleNormal="130" zoomScaleSheetLayoutView="11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3.6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1823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615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440"/>
      <c r="D4" s="1527" t="s">
        <v>1025</v>
      </c>
      <c r="E4" s="1527"/>
      <c r="F4" s="1527"/>
      <c r="G4" s="441" t="s">
        <v>79</v>
      </c>
    </row>
    <row r="5" spans="1:7" s="99" customFormat="1" ht="37.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32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32" t="s">
        <v>2</v>
      </c>
      <c r="B8" s="94"/>
      <c r="C8" s="1142" t="s">
        <v>1774</v>
      </c>
      <c r="D8" s="36">
        <f>SUM(D9:D18)</f>
        <v>4119</v>
      </c>
      <c r="E8" s="36">
        <f t="shared" ref="E8:F8" si="0">SUM(E9:E18)</f>
        <v>4119</v>
      </c>
      <c r="F8" s="36">
        <f t="shared" si="0"/>
        <v>0</v>
      </c>
      <c r="G8" s="36">
        <f>F8/E8*100</f>
        <v>0</v>
      </c>
    </row>
    <row r="9" spans="1:7" s="96" customFormat="1" ht="15" customHeight="1" x14ac:dyDescent="0.2">
      <c r="A9" s="1133"/>
      <c r="B9" s="98" t="s">
        <v>50</v>
      </c>
      <c r="C9" s="1143" t="s">
        <v>1472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v>4119</v>
      </c>
      <c r="E10" s="142">
        <v>4119</v>
      </c>
      <c r="F10" s="142"/>
      <c r="G10" s="142"/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/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" customHeight="1" thickBot="1" x14ac:dyDescent="0.25">
      <c r="A19" s="1132" t="s">
        <v>3</v>
      </c>
      <c r="B19" s="94"/>
      <c r="C19" s="1142" t="s">
        <v>1482</v>
      </c>
      <c r="D19" s="141">
        <f>SUM(D20:D25)</f>
        <v>15092</v>
      </c>
      <c r="E19" s="141">
        <f t="shared" ref="E19:F19" si="1">SUM(E20:E25)</f>
        <v>15750</v>
      </c>
      <c r="F19" s="141">
        <f t="shared" si="1"/>
        <v>0</v>
      </c>
      <c r="G19" s="141">
        <f>F19/E19*100</f>
        <v>0</v>
      </c>
    </row>
    <row r="20" spans="1:7" s="99" customFormat="1" ht="30" customHeight="1" x14ac:dyDescent="0.2">
      <c r="A20" s="97"/>
      <c r="B20" s="98" t="s">
        <v>4</v>
      </c>
      <c r="C20" s="1151" t="s">
        <v>1483</v>
      </c>
      <c r="D20" s="142">
        <v>12768</v>
      </c>
      <c r="E20" s="142">
        <v>13426</v>
      </c>
      <c r="F20" s="142"/>
      <c r="G20" s="142">
        <f>F20/E20*100</f>
        <v>0</v>
      </c>
    </row>
    <row r="21" spans="1:7" s="99" customFormat="1" ht="15" customHeight="1" x14ac:dyDescent="0.2">
      <c r="A21" s="1222"/>
      <c r="B21" s="1148" t="s">
        <v>239</v>
      </c>
      <c r="C21" s="1152" t="s">
        <v>34</v>
      </c>
      <c r="D21" s="1223"/>
      <c r="E21" s="1223"/>
      <c r="F21" s="1223"/>
      <c r="G21" s="1223"/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>
        <v>0</v>
      </c>
      <c r="G22" s="142"/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>
        <v>2324</v>
      </c>
      <c r="E24" s="142">
        <v>2324</v>
      </c>
      <c r="F24" s="142"/>
      <c r="G24" s="142">
        <f>F24/E24*100</f>
        <v>0</v>
      </c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/>
    </row>
    <row r="27" spans="1:7" s="99" customFormat="1" ht="30.7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30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9" s="96" customFormat="1" ht="27.7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9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9" s="96" customFormat="1" ht="33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9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:F36" si="2">+E37+E38</f>
        <v>16</v>
      </c>
      <c r="F36" s="148">
        <f t="shared" si="2"/>
        <v>0</v>
      </c>
      <c r="G36" s="148"/>
    </row>
    <row r="37" spans="1:9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16</v>
      </c>
      <c r="F37" s="149"/>
      <c r="G37" s="149"/>
    </row>
    <row r="38" spans="1:9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9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26133</v>
      </c>
      <c r="E39" s="119">
        <v>26791</v>
      </c>
      <c r="F39" s="119"/>
      <c r="G39" s="119">
        <f>F39/E39*100</f>
        <v>0</v>
      </c>
      <c r="I39" s="110">
        <f>SUM(F54-F41)</f>
        <v>0</v>
      </c>
    </row>
    <row r="40" spans="1:9" s="99" customFormat="1" ht="15" hidden="1" customHeight="1" thickBot="1" x14ac:dyDescent="0.3">
      <c r="A40" s="116"/>
      <c r="B40" s="117"/>
      <c r="C40" s="2" t="s">
        <v>542</v>
      </c>
      <c r="D40" s="119"/>
      <c r="E40" s="119"/>
      <c r="F40" s="119"/>
      <c r="G40" s="119"/>
    </row>
    <row r="41" spans="1:9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SUM(D8,D19,D26,D32,D36,D39)</f>
        <v>45344</v>
      </c>
      <c r="E41" s="152">
        <f t="shared" ref="E41" si="3">SUM(E8,E19,E26,E32,E36,E39)</f>
        <v>46676</v>
      </c>
      <c r="F41" s="152">
        <f>SUM(F8,F19,F26,F32,F36,F39,F40)</f>
        <v>0</v>
      </c>
      <c r="G41" s="152">
        <f>F41/E41*100</f>
        <v>0</v>
      </c>
      <c r="I41" s="110"/>
    </row>
    <row r="42" spans="1:9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</row>
    <row r="43" spans="1:9" s="411" customFormat="1" ht="15" customHeight="1" thickBot="1" x14ac:dyDescent="0.25">
      <c r="A43" s="150"/>
      <c r="B43" s="151"/>
      <c r="C43" s="387" t="s">
        <v>82</v>
      </c>
      <c r="D43" s="152"/>
      <c r="E43" s="152"/>
      <c r="F43" s="152"/>
      <c r="G43" s="152"/>
    </row>
    <row r="44" spans="1:9" s="96" customFormat="1" ht="15" customHeight="1" thickBot="1" x14ac:dyDescent="0.25">
      <c r="A44" s="1132" t="s">
        <v>2</v>
      </c>
      <c r="B44" s="2"/>
      <c r="C44" s="10" t="s">
        <v>49</v>
      </c>
      <c r="D44" s="141">
        <f>SUM(D45:D49)</f>
        <v>45344</v>
      </c>
      <c r="E44" s="141">
        <f t="shared" ref="E44:F44" si="4">SUM(E45:E49)</f>
        <v>46190</v>
      </c>
      <c r="F44" s="141">
        <f t="shared" si="4"/>
        <v>0</v>
      </c>
      <c r="G44" s="141">
        <f>F44/E44*100</f>
        <v>0</v>
      </c>
    </row>
    <row r="45" spans="1:9" s="99" customFormat="1" ht="15" customHeight="1" x14ac:dyDescent="0.2">
      <c r="A45" s="113"/>
      <c r="B45" s="124" t="s">
        <v>50</v>
      </c>
      <c r="C45" s="7" t="s">
        <v>51</v>
      </c>
      <c r="D45" s="147">
        <v>17907</v>
      </c>
      <c r="E45" s="147">
        <v>18593</v>
      </c>
      <c r="F45" s="147"/>
      <c r="G45" s="147">
        <f>F45/E45*100</f>
        <v>0</v>
      </c>
    </row>
    <row r="46" spans="1:9" s="99" customFormat="1" ht="15" customHeight="1" x14ac:dyDescent="0.2">
      <c r="A46" s="97"/>
      <c r="B46" s="109" t="s">
        <v>52</v>
      </c>
      <c r="C46" s="3" t="s">
        <v>53</v>
      </c>
      <c r="D46" s="142">
        <v>4749</v>
      </c>
      <c r="E46" s="142">
        <v>4934</v>
      </c>
      <c r="F46" s="142"/>
      <c r="G46" s="142">
        <f>F46/E46*100</f>
        <v>0</v>
      </c>
    </row>
    <row r="47" spans="1:9" s="99" customFormat="1" ht="15" customHeight="1" x14ac:dyDescent="0.2">
      <c r="A47" s="97"/>
      <c r="B47" s="109" t="s">
        <v>54</v>
      </c>
      <c r="C47" s="3" t="s">
        <v>55</v>
      </c>
      <c r="D47" s="142">
        <v>16849</v>
      </c>
      <c r="E47" s="142">
        <v>16824</v>
      </c>
      <c r="F47" s="142"/>
      <c r="G47" s="142">
        <f>F47/E47*100</f>
        <v>0</v>
      </c>
    </row>
    <row r="48" spans="1:9" s="99" customFormat="1" ht="15" customHeight="1" x14ac:dyDescent="0.2">
      <c r="A48" s="97"/>
      <c r="B48" s="109" t="s">
        <v>56</v>
      </c>
      <c r="C48" s="3" t="s">
        <v>57</v>
      </c>
      <c r="D48" s="142"/>
      <c r="E48" s="142"/>
      <c r="F48" s="142"/>
      <c r="G48" s="142"/>
    </row>
    <row r="49" spans="1:7" s="99" customFormat="1" ht="15" customHeight="1" thickBot="1" x14ac:dyDescent="0.25">
      <c r="A49" s="97"/>
      <c r="B49" s="109" t="s">
        <v>58</v>
      </c>
      <c r="C49" s="3" t="s">
        <v>59</v>
      </c>
      <c r="D49" s="142">
        <v>5839</v>
      </c>
      <c r="E49" s="142">
        <v>5839</v>
      </c>
      <c r="F49" s="142"/>
      <c r="G49" s="142">
        <f>F49/E49*100</f>
        <v>0</v>
      </c>
    </row>
    <row r="50" spans="1:7" s="99" customFormat="1" ht="15" customHeight="1" thickBot="1" x14ac:dyDescent="0.25">
      <c r="A50" s="1208" t="s">
        <v>3</v>
      </c>
      <c r="B50" s="2"/>
      <c r="C50" s="1156" t="s">
        <v>1513</v>
      </c>
      <c r="D50" s="141">
        <f>SUM(D51:D53)</f>
        <v>0</v>
      </c>
      <c r="E50" s="141">
        <f>SUM(E51:E53)</f>
        <v>486</v>
      </c>
      <c r="F50" s="141">
        <f>SUM(F51:F53)</f>
        <v>0</v>
      </c>
      <c r="G50" s="141"/>
    </row>
    <row r="51" spans="1:7" s="96" customFormat="1" ht="15" customHeight="1" x14ac:dyDescent="0.2">
      <c r="A51" s="113"/>
      <c r="B51" s="1165" t="s">
        <v>4</v>
      </c>
      <c r="C51" s="1151" t="s">
        <v>1173</v>
      </c>
      <c r="D51" s="147">
        <v>0</v>
      </c>
      <c r="E51" s="147">
        <v>486</v>
      </c>
      <c r="F51" s="147"/>
      <c r="G51" s="147"/>
    </row>
    <row r="52" spans="1:7" s="99" customFormat="1" ht="15" customHeight="1" x14ac:dyDescent="0.2">
      <c r="A52" s="97"/>
      <c r="B52" s="1166" t="s">
        <v>6</v>
      </c>
      <c r="C52" s="1144" t="s">
        <v>64</v>
      </c>
      <c r="D52" s="142">
        <v>0</v>
      </c>
      <c r="E52" s="142">
        <v>0</v>
      </c>
      <c r="F52" s="142">
        <v>0</v>
      </c>
      <c r="G52" s="142"/>
    </row>
    <row r="53" spans="1:7" s="99" customFormat="1" ht="30" customHeight="1" thickBot="1" x14ac:dyDescent="0.25">
      <c r="A53" s="97"/>
      <c r="B53" s="1166" t="s">
        <v>7</v>
      </c>
      <c r="C53" s="1144" t="s">
        <v>1500</v>
      </c>
      <c r="D53" s="142">
        <v>0</v>
      </c>
      <c r="E53" s="142">
        <v>0</v>
      </c>
      <c r="F53" s="142">
        <v>0</v>
      </c>
      <c r="G53" s="142"/>
    </row>
    <row r="54" spans="1:7" s="99" customFormat="1" ht="15" customHeight="1" thickBot="1" x14ac:dyDescent="0.25">
      <c r="A54" s="150" t="s">
        <v>12</v>
      </c>
      <c r="B54" s="151"/>
      <c r="C54" s="354" t="s">
        <v>1501</v>
      </c>
      <c r="D54" s="152" t="e">
        <f>+D44+D50+#REF!</f>
        <v>#REF!</v>
      </c>
      <c r="E54" s="152" t="e">
        <f>+E44+E50+#REF!</f>
        <v>#REF!</v>
      </c>
      <c r="F54" s="152">
        <f>+F44+F50</f>
        <v>0</v>
      </c>
      <c r="G54" s="152" t="e">
        <f>F54/E54*100</f>
        <v>#REF!</v>
      </c>
    </row>
    <row r="55" spans="1:7" s="99" customFormat="1" ht="15" customHeight="1" thickBot="1" x14ac:dyDescent="0.25">
      <c r="A55" s="131"/>
      <c r="B55" s="132"/>
      <c r="C55" s="132"/>
      <c r="D55" s="132"/>
      <c r="E55" s="132"/>
      <c r="F55" s="132"/>
      <c r="G55" s="132"/>
    </row>
    <row r="56" spans="1:7" s="99" customFormat="1" ht="15" customHeight="1" thickBot="1" x14ac:dyDescent="0.25">
      <c r="A56" s="133" t="s">
        <v>136</v>
      </c>
      <c r="B56" s="134"/>
      <c r="C56" s="135"/>
      <c r="D56" s="136">
        <v>10.5</v>
      </c>
      <c r="E56" s="136">
        <v>10.5</v>
      </c>
      <c r="F56" s="136"/>
      <c r="G56" s="136"/>
    </row>
    <row r="57" spans="1:7" s="99" customFormat="1" ht="15" customHeight="1" thickBot="1" x14ac:dyDescent="0.25">
      <c r="A57" s="133" t="s">
        <v>137</v>
      </c>
      <c r="B57" s="134"/>
      <c r="C57" s="135"/>
      <c r="D57" s="356"/>
      <c r="E57" s="356"/>
      <c r="F57" s="356"/>
      <c r="G57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23622047244094491" top="0.19685039370078741" bottom="0.35433070866141736" header="0.39370078740157483" footer="0.15748031496062992"/>
  <pageSetup paperSize="9" scale="84" firstPageNumber="83" orientation="portrait" r:id="rId1"/>
  <headerFooter alignWithMargins="0">
    <oddFooter>&amp;C&amp;11-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8"/>
  <sheetViews>
    <sheetView view="pageBreakPreview" zoomScaleNormal="140" zoomScaleSheetLayoutView="100" workbookViewId="0">
      <selection activeCell="C8" sqref="C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5.1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8" width="9.33203125" style="76"/>
    <col min="9" max="10" width="21.1640625" style="76" customWidth="1"/>
    <col min="11" max="11" width="15.33203125" style="76" customWidth="1"/>
    <col min="12" max="13" width="9.83203125" style="76" bestFit="1" customWidth="1"/>
    <col min="14" max="16384" width="9.33203125" style="76"/>
  </cols>
  <sheetData>
    <row r="1" spans="1:10" s="409" customFormat="1" ht="15" customHeight="1" thickBot="1" x14ac:dyDescent="0.25">
      <c r="A1" s="323"/>
      <c r="B1" s="324"/>
      <c r="C1" s="325"/>
      <c r="D1" s="1552" t="s">
        <v>1468</v>
      </c>
      <c r="E1" s="1552"/>
      <c r="F1" s="1552"/>
      <c r="G1" s="1552"/>
    </row>
    <row r="2" spans="1:10" s="410" customFormat="1" ht="30" customHeight="1" thickBot="1" x14ac:dyDescent="0.25">
      <c r="A2" s="1554" t="s">
        <v>495</v>
      </c>
      <c r="B2" s="1554"/>
      <c r="C2" s="77" t="s">
        <v>623</v>
      </c>
      <c r="D2" s="1523" t="s">
        <v>1024</v>
      </c>
      <c r="E2" s="343"/>
      <c r="F2" s="1523" t="s">
        <v>1420</v>
      </c>
      <c r="G2" s="343"/>
    </row>
    <row r="3" spans="1:10" s="410" customFormat="1" ht="30" customHeight="1" thickBot="1" x14ac:dyDescent="0.25">
      <c r="A3" s="1554" t="s">
        <v>122</v>
      </c>
      <c r="B3" s="1554"/>
      <c r="C3" s="80" t="s">
        <v>624</v>
      </c>
      <c r="D3" s="1524"/>
      <c r="E3" s="327"/>
      <c r="F3" s="1524"/>
      <c r="G3" s="327"/>
    </row>
    <row r="4" spans="1:10" s="410" customFormat="1" ht="15" customHeight="1" thickBot="1" x14ac:dyDescent="0.3">
      <c r="A4" s="81"/>
      <c r="B4" s="81"/>
      <c r="C4" s="440"/>
      <c r="D4" s="1527" t="s">
        <v>1025</v>
      </c>
      <c r="E4" s="1527"/>
      <c r="F4" s="1527"/>
      <c r="G4" s="82"/>
    </row>
    <row r="5" spans="1:10" s="99" customFormat="1" ht="32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10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10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10" s="96" customFormat="1" ht="15" customHeight="1" x14ac:dyDescent="0.2">
      <c r="A8" s="93" t="s">
        <v>2</v>
      </c>
      <c r="B8" s="94"/>
      <c r="C8" s="1142" t="s">
        <v>1774</v>
      </c>
      <c r="D8" s="141">
        <f>SUM(D9:D18)</f>
        <v>19150</v>
      </c>
      <c r="E8" s="141">
        <f t="shared" ref="E8:F8" si="0">SUM(E9:E18)</f>
        <v>19150</v>
      </c>
      <c r="F8" s="141">
        <f t="shared" si="0"/>
        <v>17911</v>
      </c>
      <c r="G8" s="141">
        <f>F8/E8*100</f>
        <v>93.530026109660568</v>
      </c>
      <c r="I8" s="404">
        <f>SUM('5.10.a.sz. mell'!F8+'5.10.b. sz. mell'!F8)</f>
        <v>17911</v>
      </c>
      <c r="J8" s="404"/>
    </row>
    <row r="9" spans="1:10" s="96" customFormat="1" ht="15" customHeight="1" x14ac:dyDescent="0.2">
      <c r="A9" s="102"/>
      <c r="B9" s="98" t="s">
        <v>50</v>
      </c>
      <c r="C9" s="1143" t="s">
        <v>1472</v>
      </c>
      <c r="D9" s="144">
        <v>0</v>
      </c>
      <c r="E9" s="144"/>
      <c r="F9" s="144"/>
      <c r="G9" s="144"/>
      <c r="I9" s="404">
        <f>SUM('5.10.a.sz. mell'!F9+'5.10.b. sz. mell'!F9)</f>
        <v>0</v>
      </c>
      <c r="J9" s="404"/>
    </row>
    <row r="10" spans="1:10" s="96" customFormat="1" ht="15" customHeight="1" x14ac:dyDescent="0.2">
      <c r="A10" s="97"/>
      <c r="B10" s="98" t="s">
        <v>52</v>
      </c>
      <c r="C10" s="1144" t="s">
        <v>1473</v>
      </c>
      <c r="D10" s="142">
        <f>SUM('5.10.1. sz. mell.'!S105)</f>
        <v>19150</v>
      </c>
      <c r="E10" s="142">
        <f>SUM('5.10.1. sz. mell.'!T105)</f>
        <v>19150</v>
      </c>
      <c r="F10" s="142">
        <f>SUM('5.10.1. sz. mell.'!U105)</f>
        <v>17911</v>
      </c>
      <c r="G10" s="142">
        <f>F10/E10*100</f>
        <v>93.530026109660568</v>
      </c>
      <c r="I10" s="404">
        <f>SUM('5.10.a.sz. mell'!F10+'5.10.b. sz. mell'!F10)</f>
        <v>11265</v>
      </c>
      <c r="J10" s="404"/>
    </row>
    <row r="11" spans="1:10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  <c r="I11" s="404">
        <f>SUM('5.10.a.sz. mell'!F11+'5.10.b. sz. mell'!F11)</f>
        <v>0</v>
      </c>
      <c r="J11" s="404"/>
    </row>
    <row r="12" spans="1:10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  <c r="I12" s="404">
        <f>SUM('5.10.a.sz. mell'!F12+'5.10.b. sz. mell'!F12)</f>
        <v>0</v>
      </c>
      <c r="J12" s="404"/>
    </row>
    <row r="13" spans="1:10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  <c r="I13" s="404">
        <f>SUM('5.10.a.sz. mell'!F13+'5.10.b. sz. mell'!F13)</f>
        <v>0</v>
      </c>
      <c r="J13" s="404"/>
    </row>
    <row r="14" spans="1:10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  <c r="I14" s="404">
        <f>SUM('5.10.a.sz. mell'!F14+'5.10.b. sz. mell'!F14)</f>
        <v>0</v>
      </c>
      <c r="J14" s="404"/>
    </row>
    <row r="15" spans="1:10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>
        <v>0</v>
      </c>
      <c r="G15" s="142"/>
      <c r="I15" s="404">
        <f>SUM('5.10.a.sz. mell'!F15+'5.10.b. sz. mell'!F15)</f>
        <v>0</v>
      </c>
      <c r="J15" s="404"/>
    </row>
    <row r="16" spans="1:10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  <c r="I16" s="404"/>
      <c r="J16" s="404"/>
    </row>
    <row r="17" spans="1:10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  <c r="I17" s="404"/>
      <c r="J17" s="404"/>
    </row>
    <row r="18" spans="1:10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  <c r="I18" s="404">
        <f>SUM('5.10.a.sz. mell'!F18+'5.10.b. sz. mell'!F18)</f>
        <v>6646</v>
      </c>
      <c r="J18" s="404"/>
    </row>
    <row r="19" spans="1:10" s="96" customFormat="1" ht="30.75" customHeight="1" thickBot="1" x14ac:dyDescent="0.25">
      <c r="A19" s="93" t="s">
        <v>3</v>
      </c>
      <c r="B19" s="94"/>
      <c r="C19" s="1142" t="s">
        <v>1482</v>
      </c>
      <c r="D19" s="141">
        <f>SUM(D21:D25)</f>
        <v>442256</v>
      </c>
      <c r="E19" s="141">
        <f t="shared" ref="E19:F19" si="1">SUM(E21:E25)</f>
        <v>442256</v>
      </c>
      <c r="F19" s="141">
        <f t="shared" si="1"/>
        <v>418146</v>
      </c>
      <c r="G19" s="141">
        <f>F19/E19*100</f>
        <v>94.548406352881585</v>
      </c>
      <c r="I19" s="404">
        <f>SUM('5.10.a.sz. mell'!F19+'5.10.b. sz. mell'!F19)</f>
        <v>418146</v>
      </c>
      <c r="J19" s="404"/>
    </row>
    <row r="20" spans="1:10" s="96" customFormat="1" ht="15" customHeight="1" x14ac:dyDescent="0.2">
      <c r="A20" s="100"/>
      <c r="B20" s="98" t="s">
        <v>4</v>
      </c>
      <c r="C20" s="1151" t="s">
        <v>1483</v>
      </c>
      <c r="D20" s="1225"/>
      <c r="E20" s="1225"/>
      <c r="F20" s="1225"/>
      <c r="G20" s="1225"/>
      <c r="I20" s="404"/>
      <c r="J20" s="404"/>
    </row>
    <row r="21" spans="1:10" s="99" customFormat="1" ht="15" customHeight="1" x14ac:dyDescent="0.2">
      <c r="A21" s="97"/>
      <c r="B21" s="1148" t="s">
        <v>239</v>
      </c>
      <c r="C21" s="1152" t="s">
        <v>34</v>
      </c>
      <c r="D21" s="142">
        <f>SUM('5.10.1. sz. mell.'!S110)</f>
        <v>442256</v>
      </c>
      <c r="E21" s="142">
        <f>SUM('5.10.1. sz. mell.'!T110)</f>
        <v>442256</v>
      </c>
      <c r="F21" s="142">
        <f>SUM('5.10.1. sz. mell.'!U110)</f>
        <v>418146</v>
      </c>
      <c r="G21" s="142">
        <f>F21/E21*100</f>
        <v>94.548406352881585</v>
      </c>
      <c r="I21" s="404">
        <f>SUM('5.10.a.sz. mell'!F21+'5.10.b. sz. mell'!F21)</f>
        <v>418146</v>
      </c>
      <c r="J21" s="404"/>
    </row>
    <row r="22" spans="1:10" s="99" customFormat="1" ht="33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>
        <v>0</v>
      </c>
      <c r="G22" s="142" t="e">
        <f>F22/E22*100</f>
        <v>#DIV/0!</v>
      </c>
      <c r="I22" s="404">
        <f>SUM('5.10.a.sz. mell'!F22+'5.10.b. sz. mell'!F22)</f>
        <v>0</v>
      </c>
      <c r="J22" s="404"/>
    </row>
    <row r="23" spans="1:10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  <c r="I23" s="404">
        <f>SUM('5.10.a.sz. mell'!F23+'5.10.b. sz. mell'!F23)</f>
        <v>0</v>
      </c>
      <c r="J23" s="404"/>
    </row>
    <row r="24" spans="1:10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  <c r="I24" s="404"/>
      <c r="J24" s="404"/>
    </row>
    <row r="25" spans="1:10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f>SUM('5.10.1. sz. mell.'!K20)</f>
        <v>0</v>
      </c>
      <c r="G25" s="142"/>
      <c r="I25" s="404">
        <f>SUM('5.10.a.sz. mell'!F25+'5.10.b. sz. mell'!F25)</f>
        <v>0</v>
      </c>
      <c r="J25" s="404"/>
    </row>
    <row r="26" spans="1:10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 t="e">
        <f>F26/E26*100</f>
        <v>#DIV/0!</v>
      </c>
      <c r="I26" s="404">
        <f>SUM('5.10.a.sz. mell'!F26+'5.10.b. sz. mell'!F26)</f>
        <v>0</v>
      </c>
      <c r="J26" s="404"/>
    </row>
    <row r="27" spans="1:10" s="99" customFormat="1" ht="1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  <c r="I27" s="404"/>
      <c r="J27" s="404"/>
    </row>
    <row r="28" spans="1:10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  <c r="I28" s="404"/>
      <c r="J28" s="404"/>
    </row>
    <row r="29" spans="1:10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  <c r="I29" s="404"/>
      <c r="J29" s="404"/>
    </row>
    <row r="30" spans="1:10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  <c r="I30" s="404"/>
      <c r="J30" s="404"/>
    </row>
    <row r="31" spans="1:10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  <c r="I31" s="404"/>
      <c r="J31" s="404"/>
    </row>
    <row r="32" spans="1:10" s="96" customFormat="1" ht="29.2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  <c r="I32" s="404">
        <f>SUM('5.10.a.sz. mell'!F32+'5.10.b. sz. mell'!F32)</f>
        <v>0</v>
      </c>
      <c r="J32" s="404"/>
    </row>
    <row r="33" spans="1:13" s="96" customFormat="1" ht="30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  <c r="I33" s="404"/>
      <c r="J33" s="404"/>
    </row>
    <row r="34" spans="1:13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13" s="96" customFormat="1" ht="33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13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16</v>
      </c>
      <c r="F36" s="148">
        <f>+F37+F38+F39</f>
        <v>104800</v>
      </c>
      <c r="G36" s="148"/>
    </row>
    <row r="37" spans="1:13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v>16</v>
      </c>
      <c r="F37" s="149"/>
      <c r="G37" s="149"/>
    </row>
    <row r="38" spans="1:13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</row>
    <row r="39" spans="1:13" s="99" customFormat="1" ht="15" customHeight="1" thickBot="1" x14ac:dyDescent="0.25">
      <c r="A39" s="1210"/>
      <c r="B39" s="1160" t="s">
        <v>1499</v>
      </c>
      <c r="C39" s="1144" t="s">
        <v>1498</v>
      </c>
      <c r="D39" s="119">
        <v>26133</v>
      </c>
      <c r="E39" s="119">
        <v>26791</v>
      </c>
      <c r="F39" s="1188">
        <f>SUM('5.10.1. sz. mell.'!U112)</f>
        <v>104800</v>
      </c>
      <c r="G39" s="119">
        <f>F39/E39*100</f>
        <v>391.17614124146172</v>
      </c>
      <c r="I39" s="404">
        <f>SUM('5.10.a.sz. mell'!F39+'5.10.b. sz. mell'!F39)</f>
        <v>104800</v>
      </c>
    </row>
    <row r="40" spans="1:13" s="99" customFormat="1" ht="15" hidden="1" customHeight="1" thickBot="1" x14ac:dyDescent="0.3">
      <c r="A40" s="116"/>
      <c r="B40" s="117"/>
      <c r="C40" s="2" t="s">
        <v>542</v>
      </c>
      <c r="D40" s="119"/>
      <c r="E40" s="119"/>
      <c r="F40" s="119"/>
      <c r="G40" s="119"/>
      <c r="I40" s="404">
        <f>SUM('5.10.a.sz. mell'!F39+'5.10.b. sz. mell'!F39)</f>
        <v>104800</v>
      </c>
      <c r="J40" s="404"/>
      <c r="K40" s="99" t="s">
        <v>1381</v>
      </c>
      <c r="L40" s="110">
        <v>601767</v>
      </c>
      <c r="M40" s="110">
        <v>464803</v>
      </c>
    </row>
    <row r="41" spans="1:13" s="99" customFormat="1" ht="15" customHeight="1" thickBot="1" x14ac:dyDescent="0.25">
      <c r="A41" s="150" t="s">
        <v>38</v>
      </c>
      <c r="B41" s="151"/>
      <c r="C41" s="354" t="s">
        <v>510</v>
      </c>
      <c r="D41" s="152">
        <f>SUM(D8,D19,D26,D32,D36,D39)</f>
        <v>487539</v>
      </c>
      <c r="E41" s="152" t="e">
        <f>SUM(E8,E19,E26,E32,E36,E39,#REF!)</f>
        <v>#REF!</v>
      </c>
      <c r="F41" s="152">
        <f>SUM(F8,F19,F26,F32,F36,F40)</f>
        <v>540857</v>
      </c>
      <c r="G41" s="152" t="e">
        <f>F41/E41*100</f>
        <v>#REF!</v>
      </c>
      <c r="I41" s="404">
        <f>SUM('5.10.a.sz. mell'!F40+'5.10.b. sz. mell'!F40)</f>
        <v>540857</v>
      </c>
      <c r="J41" s="404"/>
      <c r="L41" s="110"/>
      <c r="M41" s="110"/>
    </row>
    <row r="42" spans="1:13" s="99" customFormat="1" ht="15" customHeight="1" thickBot="1" x14ac:dyDescent="0.25">
      <c r="A42" s="336"/>
      <c r="B42" s="336"/>
      <c r="C42" s="355"/>
      <c r="D42" s="388"/>
      <c r="E42" s="388"/>
      <c r="F42" s="388"/>
      <c r="G42" s="388"/>
      <c r="I42" s="404">
        <f>SUM('5.10.a.sz. mell'!F41+'5.10.b. sz. mell'!F41)</f>
        <v>0</v>
      </c>
      <c r="J42" s="404"/>
    </row>
    <row r="43" spans="1:13" s="411" customFormat="1" ht="15" customHeight="1" x14ac:dyDescent="0.2">
      <c r="A43" s="150"/>
      <c r="B43" s="151"/>
      <c r="C43" s="387" t="s">
        <v>82</v>
      </c>
      <c r="D43" s="152"/>
      <c r="E43" s="152"/>
      <c r="F43" s="152"/>
      <c r="G43" s="152"/>
      <c r="I43" s="404">
        <f>SUM('5.10.a.sz. mell'!F42+'5.10.b. sz. mell'!F42)</f>
        <v>0</v>
      </c>
      <c r="J43" s="404"/>
    </row>
    <row r="44" spans="1:13" s="96" customFormat="1" ht="15" customHeight="1" x14ac:dyDescent="0.2">
      <c r="A44" s="93" t="s">
        <v>2</v>
      </c>
      <c r="B44" s="2"/>
      <c r="C44" s="10" t="s">
        <v>49</v>
      </c>
      <c r="D44" s="141">
        <f>SUM(D45:D49)</f>
        <v>543455</v>
      </c>
      <c r="E44" s="141">
        <f t="shared" ref="E44:F44" si="3">SUM(E45:E49)</f>
        <v>598073</v>
      </c>
      <c r="F44" s="141">
        <f t="shared" si="3"/>
        <v>537857</v>
      </c>
      <c r="G44" s="141">
        <f>F44/E44*100</f>
        <v>89.931663860431755</v>
      </c>
      <c r="I44" s="404">
        <f>SUM('5.10.a.sz. mell'!F43+'5.10.b. sz. mell'!F43)</f>
        <v>537857</v>
      </c>
      <c r="J44" s="404"/>
    </row>
    <row r="45" spans="1:13" s="99" customFormat="1" ht="15" customHeight="1" x14ac:dyDescent="0.2">
      <c r="A45" s="113"/>
      <c r="B45" s="124" t="s">
        <v>50</v>
      </c>
      <c r="C45" s="7" t="s">
        <v>51</v>
      </c>
      <c r="D45" s="147">
        <f>SUM('5.10.1. sz. mell.'!S120)</f>
        <v>168529</v>
      </c>
      <c r="E45" s="147">
        <f>SUM('5.10.1. sz. mell.'!T120)</f>
        <v>192424</v>
      </c>
      <c r="F45" s="147">
        <f>SUM('5.10.1. sz. mell.'!U120)</f>
        <v>198791</v>
      </c>
      <c r="G45" s="147">
        <f>F45/E45*100</f>
        <v>103.30883881428512</v>
      </c>
      <c r="I45" s="404">
        <f>SUM('5.10.a.sz. mell'!F44+'5.10.b. sz. mell'!F44)</f>
        <v>198791</v>
      </c>
      <c r="J45" s="404"/>
    </row>
    <row r="46" spans="1:13" s="99" customFormat="1" ht="15" customHeight="1" x14ac:dyDescent="0.2">
      <c r="A46" s="97"/>
      <c r="B46" s="109" t="s">
        <v>52</v>
      </c>
      <c r="C46" s="3" t="s">
        <v>53</v>
      </c>
      <c r="D46" s="142">
        <f>SUM('5.10.1. sz. mell.'!S123)</f>
        <v>49730</v>
      </c>
      <c r="E46" s="142">
        <f>SUM('5.10.1. sz. mell.'!T123)</f>
        <v>49730</v>
      </c>
      <c r="F46" s="142">
        <f>SUM('5.10.1. sz. mell.'!U123)</f>
        <v>51225</v>
      </c>
      <c r="G46" s="142">
        <f>F46/E46*100</f>
        <v>103.00623366177358</v>
      </c>
      <c r="I46" s="404">
        <f>SUM('5.10.a.sz. mell'!F45+'5.10.b. sz. mell'!F45)</f>
        <v>51225</v>
      </c>
      <c r="J46" s="404"/>
    </row>
    <row r="47" spans="1:13" s="99" customFormat="1" ht="15" customHeight="1" x14ac:dyDescent="0.2">
      <c r="A47" s="97"/>
      <c r="B47" s="109" t="s">
        <v>54</v>
      </c>
      <c r="C47" s="3" t="s">
        <v>55</v>
      </c>
      <c r="D47" s="142">
        <f>SUM('5.10.1. sz. mell.'!S125)</f>
        <v>325196</v>
      </c>
      <c r="E47" s="142">
        <f>SUM('5.10.1. sz. mell.'!T125)</f>
        <v>355919</v>
      </c>
      <c r="F47" s="142">
        <f>SUM('5.10.1. sz. mell.'!U125)</f>
        <v>287841</v>
      </c>
      <c r="G47" s="142">
        <f>F47/E47*100</f>
        <v>80.872614274596188</v>
      </c>
      <c r="I47" s="404">
        <f>SUM('5.10.a.sz. mell'!F46+'5.10.b. sz. mell'!F46)</f>
        <v>287841</v>
      </c>
      <c r="J47" s="404"/>
    </row>
    <row r="48" spans="1:13" s="99" customFormat="1" ht="15" customHeight="1" x14ac:dyDescent="0.2">
      <c r="A48" s="97"/>
      <c r="B48" s="109" t="s">
        <v>56</v>
      </c>
      <c r="C48" s="3" t="s">
        <v>57</v>
      </c>
      <c r="D48" s="142">
        <v>0</v>
      </c>
      <c r="E48" s="142">
        <v>0</v>
      </c>
      <c r="F48" s="142">
        <v>0</v>
      </c>
      <c r="G48" s="142"/>
      <c r="I48" s="404">
        <f>SUM('5.10.a.sz. mell'!F47+'5.10.b. sz. mell'!F47)</f>
        <v>0</v>
      </c>
      <c r="J48" s="404"/>
    </row>
    <row r="49" spans="1:13" s="99" customFormat="1" ht="15" customHeight="1" x14ac:dyDescent="0.2">
      <c r="A49" s="97"/>
      <c r="B49" s="109" t="s">
        <v>58</v>
      </c>
      <c r="C49" s="3" t="s">
        <v>59</v>
      </c>
      <c r="D49" s="142">
        <v>0</v>
      </c>
      <c r="E49" s="142">
        <v>0</v>
      </c>
      <c r="F49" s="142"/>
      <c r="G49" s="142"/>
      <c r="I49" s="404">
        <f>SUM('5.10.a.sz. mell'!F48+'5.10.b. sz. mell'!F48)</f>
        <v>0</v>
      </c>
      <c r="J49" s="404"/>
    </row>
    <row r="50" spans="1:13" s="99" customFormat="1" ht="15" customHeight="1" x14ac:dyDescent="0.2">
      <c r="A50" s="93" t="s">
        <v>3</v>
      </c>
      <c r="B50" s="2"/>
      <c r="C50" s="1156" t="s">
        <v>1513</v>
      </c>
      <c r="D50" s="141">
        <f>SUM(D51:D53)</f>
        <v>0</v>
      </c>
      <c r="E50" s="141">
        <f>SUM(E51:E53)</f>
        <v>3694</v>
      </c>
      <c r="F50" s="141">
        <f>SUM(F51:F53)</f>
        <v>3000</v>
      </c>
      <c r="G50" s="141">
        <f>F50/E50*100</f>
        <v>81.212777476989714</v>
      </c>
      <c r="I50" s="404">
        <f>SUM('5.10.a.sz. mell'!F49+'5.10.b. sz. mell'!F49)</f>
        <v>3000</v>
      </c>
      <c r="J50" s="404"/>
    </row>
    <row r="51" spans="1:13" s="96" customFormat="1" ht="15" customHeight="1" x14ac:dyDescent="0.2">
      <c r="A51" s="113"/>
      <c r="B51" s="1165" t="s">
        <v>4</v>
      </c>
      <c r="C51" s="1151" t="s">
        <v>1173</v>
      </c>
      <c r="D51" s="147">
        <v>0</v>
      </c>
      <c r="E51" s="147">
        <f>'5.10.1. sz. mell.'!T127</f>
        <v>3694</v>
      </c>
      <c r="F51" s="147">
        <f>'5.10.1. sz. mell.'!U127</f>
        <v>3000</v>
      </c>
      <c r="G51" s="147">
        <f>F51/E51*100</f>
        <v>81.212777476989714</v>
      </c>
      <c r="I51" s="404">
        <f>SUM('5.10.a.sz. mell'!F50+'5.10.b. sz. mell'!F50)</f>
        <v>3000</v>
      </c>
      <c r="J51" s="404"/>
    </row>
    <row r="52" spans="1:13" s="99" customFormat="1" ht="15" customHeight="1" x14ac:dyDescent="0.2">
      <c r="A52" s="97"/>
      <c r="B52" s="1166" t="s">
        <v>6</v>
      </c>
      <c r="C52" s="1144" t="s">
        <v>64</v>
      </c>
      <c r="D52" s="142">
        <v>0</v>
      </c>
      <c r="E52" s="142">
        <f>'5.10.1. sz. mell.'!T126</f>
        <v>0</v>
      </c>
      <c r="F52" s="142">
        <f>'5.10.1. sz. mell.'!U126</f>
        <v>0</v>
      </c>
      <c r="G52" s="142" t="e">
        <f>F52/E52*100</f>
        <v>#DIV/0!</v>
      </c>
      <c r="I52" s="404">
        <f>SUM('5.10.a.sz. mell'!F51+'5.10.b. sz. mell'!F51)</f>
        <v>0</v>
      </c>
      <c r="J52" s="404"/>
    </row>
    <row r="53" spans="1:13" s="99" customFormat="1" ht="13.5" customHeight="1" thickBot="1" x14ac:dyDescent="0.25">
      <c r="A53" s="97"/>
      <c r="B53" s="1166" t="s">
        <v>7</v>
      </c>
      <c r="C53" s="1144" t="s">
        <v>1500</v>
      </c>
      <c r="D53" s="142">
        <v>0</v>
      </c>
      <c r="E53" s="142">
        <v>0</v>
      </c>
      <c r="F53" s="142">
        <v>0</v>
      </c>
      <c r="G53" s="142"/>
      <c r="I53" s="404">
        <f>SUM('5.10.a.sz. mell'!F52+'5.10.b. sz. mell'!F52)</f>
        <v>0</v>
      </c>
      <c r="J53" s="404"/>
    </row>
    <row r="54" spans="1:13" s="99" customFormat="1" ht="15" hidden="1" customHeight="1" thickBot="1" x14ac:dyDescent="0.25">
      <c r="A54" s="93"/>
      <c r="B54" s="2"/>
      <c r="C54" s="10" t="s">
        <v>515</v>
      </c>
      <c r="D54" s="119"/>
      <c r="E54" s="119"/>
      <c r="F54" s="119">
        <f>'5.10.1. sz. mell.'!U128</f>
        <v>0</v>
      </c>
      <c r="G54" s="119"/>
      <c r="I54" s="404" t="e">
        <f>SUM('5.10.a.sz. mell'!#REF!+'5.10.b. sz. mell'!#REF!)</f>
        <v>#REF!</v>
      </c>
      <c r="J54" s="404"/>
      <c r="L54" s="110"/>
    </row>
    <row r="55" spans="1:13" s="99" customFormat="1" ht="15" customHeight="1" thickBot="1" x14ac:dyDescent="0.25">
      <c r="A55" s="150" t="s">
        <v>12</v>
      </c>
      <c r="B55" s="151"/>
      <c r="C55" s="354" t="s">
        <v>1501</v>
      </c>
      <c r="D55" s="152" t="e">
        <f>+D44+D50+#REF!</f>
        <v>#REF!</v>
      </c>
      <c r="E55" s="152" t="e">
        <f>+E44+E50+#REF!</f>
        <v>#REF!</v>
      </c>
      <c r="F55" s="152">
        <f>+F44+F50+F54</f>
        <v>540857</v>
      </c>
      <c r="G55" s="152" t="e">
        <f>F55/E55*100</f>
        <v>#REF!</v>
      </c>
      <c r="I55" s="404">
        <f>SUM('5.10.a.sz. mell'!F53+'5.10.b. sz. mell'!F53)</f>
        <v>540857</v>
      </c>
      <c r="J55" s="404"/>
      <c r="L55" s="110"/>
      <c r="M55" s="110"/>
    </row>
    <row r="56" spans="1:13" s="99" customFormat="1" ht="15" customHeight="1" thickBot="1" x14ac:dyDescent="0.25">
      <c r="A56" s="131"/>
      <c r="B56" s="132"/>
      <c r="C56" s="132"/>
      <c r="D56" s="132"/>
      <c r="E56" s="132"/>
      <c r="F56" s="132"/>
      <c r="G56" s="132"/>
      <c r="I56" s="404">
        <f>SUM('5.10.a.sz. mell'!F54+'5.10.b. sz. mell'!F54)</f>
        <v>0</v>
      </c>
      <c r="J56" s="404"/>
    </row>
    <row r="57" spans="1:13" s="99" customFormat="1" ht="15" customHeight="1" x14ac:dyDescent="0.2">
      <c r="A57" s="133" t="s">
        <v>136</v>
      </c>
      <c r="B57" s="134"/>
      <c r="C57" s="135"/>
      <c r="D57" s="136">
        <f>SUM('5.10.1. sz. mell.'!I200)</f>
        <v>73</v>
      </c>
      <c r="E57" s="136">
        <f>SUM('5.10.1. sz. mell.'!J200)</f>
        <v>73</v>
      </c>
      <c r="F57" s="136">
        <f>SUM('5.10.1. sz. mell.'!K200)</f>
        <v>73</v>
      </c>
      <c r="G57" s="136"/>
      <c r="I57" s="404">
        <f>SUM('5.10.a.sz. mell'!F55+'5.10.b. sz. mell'!F55)</f>
        <v>73</v>
      </c>
      <c r="J57" s="404"/>
    </row>
    <row r="58" spans="1:13" s="99" customFormat="1" ht="15" customHeight="1" x14ac:dyDescent="0.2">
      <c r="A58" s="133" t="s">
        <v>137</v>
      </c>
      <c r="B58" s="134"/>
      <c r="C58" s="135"/>
      <c r="D58" s="356"/>
      <c r="E58" s="356"/>
      <c r="F58" s="356"/>
      <c r="G58" s="356"/>
      <c r="I58" s="404">
        <f>SUM('5.10.a.sz. mell'!F56+'5.10.b. sz. mell'!F56)</f>
        <v>0</v>
      </c>
      <c r="J58" s="404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19685039370078741" right="0.23622047244094491" top="0.35433070866141736" bottom="0.39370078740157483" header="0.19685039370078741" footer="0.15748031496062992"/>
  <pageSetup paperSize="9" scale="85" firstPageNumber="88" orientation="portrait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view="pageBreakPreview" zoomScaleNormal="140" zoomScaleSheetLayoutView="10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5.1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9" width="9.33203125" style="76"/>
    <col min="10" max="10" width="15.33203125" style="76" customWidth="1"/>
    <col min="11" max="12" width="9.83203125" style="76" bestFit="1" customWidth="1"/>
    <col min="13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1824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623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1540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440"/>
      <c r="D4" s="1527" t="s">
        <v>1025</v>
      </c>
      <c r="E4" s="1527"/>
      <c r="F4" s="1527"/>
      <c r="G4" s="82"/>
    </row>
    <row r="5" spans="1:7" s="99" customFormat="1" ht="32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2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29" t="s">
        <v>2</v>
      </c>
      <c r="B8" s="94"/>
      <c r="C8" s="1142" t="s">
        <v>1774</v>
      </c>
      <c r="D8" s="141">
        <f>SUM(D9:D18)</f>
        <v>19150</v>
      </c>
      <c r="E8" s="141">
        <f t="shared" ref="E8:F8" si="0">SUM(E9:E18)</f>
        <v>19150</v>
      </c>
      <c r="F8" s="141">
        <f t="shared" si="0"/>
        <v>6060</v>
      </c>
      <c r="G8" s="141">
        <f>F8/E8*100</f>
        <v>31.64490861618799</v>
      </c>
    </row>
    <row r="9" spans="1:7" s="96" customFormat="1" ht="15" customHeight="1" x14ac:dyDescent="0.2">
      <c r="A9" s="1130"/>
      <c r="B9" s="98" t="s">
        <v>50</v>
      </c>
      <c r="C9" s="1143" t="s">
        <v>1472</v>
      </c>
      <c r="D9" s="144">
        <v>0</v>
      </c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f>SUM('5.10.1. sz. mell.'!S105)</f>
        <v>19150</v>
      </c>
      <c r="E10" s="142">
        <f>SUM('5.10.1. sz. mell.'!T105)</f>
        <v>19150</v>
      </c>
      <c r="F10" s="142">
        <f>SUM('5.10.1. sz. mell.'!K129+'5.10.1. sz. mell.'!K59)</f>
        <v>6060</v>
      </c>
      <c r="G10" s="142">
        <f>F10/E10*100</f>
        <v>31.64490861618799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>
        <v>0</v>
      </c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" customHeight="1" thickBot="1" x14ac:dyDescent="0.25">
      <c r="A19" s="1129" t="s">
        <v>3</v>
      </c>
      <c r="B19" s="94"/>
      <c r="C19" s="1142" t="s">
        <v>1482</v>
      </c>
      <c r="D19" s="141">
        <f>SUM(D21:D25)</f>
        <v>442256</v>
      </c>
      <c r="E19" s="141">
        <f t="shared" ref="E19:F19" si="1">SUM(E21:E25)</f>
        <v>442256</v>
      </c>
      <c r="F19" s="141">
        <f t="shared" si="1"/>
        <v>56286</v>
      </c>
      <c r="G19" s="141">
        <f>F19/E19*100</f>
        <v>12.727017835823595</v>
      </c>
    </row>
    <row r="20" spans="1:7" s="96" customFormat="1" ht="15" customHeight="1" x14ac:dyDescent="0.2">
      <c r="A20" s="100"/>
      <c r="B20" s="98" t="s">
        <v>4</v>
      </c>
      <c r="C20" s="1151" t="s">
        <v>1483</v>
      </c>
      <c r="D20" s="1225"/>
      <c r="E20" s="1225"/>
      <c r="F20" s="1225"/>
      <c r="G20" s="1225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f>SUM('5.10.1. sz. mell.'!S110)</f>
        <v>442256</v>
      </c>
      <c r="E21" s="142">
        <f>SUM('5.10.1. sz. mell.'!T110)</f>
        <v>442256</v>
      </c>
      <c r="F21" s="142">
        <f>SUM('5.10.1. sz. mell.'!K39+'5.10.1. sz. mell.'!K87+'5.10.1. sz. mell.'!K110+'5.10.1. sz. mell.'!K133)</f>
        <v>56286</v>
      </c>
      <c r="G21" s="142">
        <f>F21/E21*100</f>
        <v>12.727017835823595</v>
      </c>
    </row>
    <row r="22" spans="1:7" s="99" customFormat="1" ht="30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>
        <v>0</v>
      </c>
      <c r="G22" s="142" t="e">
        <f>F22/E22*100</f>
        <v>#DIV/0!</v>
      </c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f>SUM('5.10.1. sz. mell.'!K20)</f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f>SUM(F27)</f>
        <v>0</v>
      </c>
      <c r="G26" s="119" t="e">
        <f>F26/E26*100</f>
        <v>#DIV/0!</v>
      </c>
    </row>
    <row r="27" spans="1:7" s="99" customFormat="1" ht="30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>
        <f>SUM(F29:F31)</f>
        <v>0</v>
      </c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28.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12" s="96" customFormat="1" ht="28.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12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12" s="96" customFormat="1" ht="30.7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12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24012</v>
      </c>
      <c r="F36" s="148">
        <f>+F37+F38+F39</f>
        <v>80150</v>
      </c>
      <c r="G36" s="148">
        <f>F36/E36*100</f>
        <v>333.7914376145261</v>
      </c>
    </row>
    <row r="37" spans="1:12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f>'5.10.1. sz. mell.'!T116</f>
        <v>24012</v>
      </c>
      <c r="F37" s="149">
        <f>'5.10.1. sz. mell.'!U116</f>
        <v>0</v>
      </c>
      <c r="G37" s="149">
        <f>F37/E37*100</f>
        <v>0</v>
      </c>
    </row>
    <row r="38" spans="1:12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  <c r="J38" s="99"/>
      <c r="K38" s="110"/>
      <c r="L38" s="110"/>
    </row>
    <row r="39" spans="1:12" s="99" customFormat="1" ht="30" customHeight="1" thickBot="1" x14ac:dyDescent="0.25">
      <c r="A39" s="1210"/>
      <c r="B39" s="1160" t="s">
        <v>1499</v>
      </c>
      <c r="C39" s="1144" t="s">
        <v>1498</v>
      </c>
      <c r="D39" s="119">
        <f>SUM('5.10.1. sz. mell.'!S112)</f>
        <v>82049</v>
      </c>
      <c r="E39" s="119">
        <f>SUM('5.10.1. sz. mell.'!T112)+'5.10.1. sz. mell.'!T114</f>
        <v>112944</v>
      </c>
      <c r="F39" s="1188">
        <f>SUM('5.10.1. sz. mell.'!K41+'5.10.1. sz. mell.'!K66+'5.10.1. sz. mell.'!K112+'5.10.1. sz. mell.'!K135)</f>
        <v>80150</v>
      </c>
      <c r="G39" s="119">
        <f>F39/E39*100</f>
        <v>70.964371724040234</v>
      </c>
      <c r="K39" s="110"/>
      <c r="L39" s="110"/>
    </row>
    <row r="40" spans="1:12" s="99" customFormat="1" ht="15" customHeight="1" thickBot="1" x14ac:dyDescent="0.25">
      <c r="A40" s="150" t="s">
        <v>38</v>
      </c>
      <c r="B40" s="151"/>
      <c r="C40" s="354" t="s">
        <v>510</v>
      </c>
      <c r="D40" s="152">
        <f>SUM(D8,D19,D26,D32,D36,D39)</f>
        <v>543455</v>
      </c>
      <c r="E40" s="152" t="e">
        <f>SUM(E8,E19,E26,E32,E36,E39,#REF!)</f>
        <v>#REF!</v>
      </c>
      <c r="F40" s="152">
        <f>SUM(F8,F19,F26,F32,F36)</f>
        <v>142496</v>
      </c>
      <c r="G40" s="152" t="e">
        <f>F40/E40*100</f>
        <v>#REF!</v>
      </c>
      <c r="K40" s="110"/>
      <c r="L40" s="110"/>
    </row>
    <row r="41" spans="1:12" s="99" customFormat="1" ht="15" customHeight="1" thickBot="1" x14ac:dyDescent="0.25">
      <c r="A41" s="336"/>
      <c r="B41" s="336"/>
      <c r="C41" s="355"/>
      <c r="D41" s="388"/>
      <c r="E41" s="388"/>
      <c r="F41" s="388"/>
      <c r="G41" s="388"/>
    </row>
    <row r="42" spans="1:12" s="411" customFormat="1" ht="15" customHeight="1" thickBot="1" x14ac:dyDescent="0.25">
      <c r="A42" s="150"/>
      <c r="B42" s="151"/>
      <c r="C42" s="387" t="s">
        <v>82</v>
      </c>
      <c r="D42" s="152"/>
      <c r="E42" s="152"/>
      <c r="F42" s="152"/>
      <c r="G42" s="152"/>
    </row>
    <row r="43" spans="1:12" s="96" customFormat="1" ht="15" customHeight="1" thickBot="1" x14ac:dyDescent="0.25">
      <c r="A43" s="1129" t="s">
        <v>2</v>
      </c>
      <c r="B43" s="2"/>
      <c r="C43" s="10" t="s">
        <v>49</v>
      </c>
      <c r="D43" s="141">
        <f>SUM(D44:D48)</f>
        <v>543455</v>
      </c>
      <c r="E43" s="141">
        <f t="shared" ref="E43" si="3">SUM(E44:E48)</f>
        <v>598073</v>
      </c>
      <c r="F43" s="141">
        <f>SUM(F44:F48)</f>
        <v>141496</v>
      </c>
      <c r="G43" s="141">
        <f>F43/E43*100</f>
        <v>23.658650365423618</v>
      </c>
    </row>
    <row r="44" spans="1:12" s="99" customFormat="1" ht="15" customHeight="1" x14ac:dyDescent="0.2">
      <c r="A44" s="113"/>
      <c r="B44" s="124" t="s">
        <v>50</v>
      </c>
      <c r="C44" s="7" t="s">
        <v>51</v>
      </c>
      <c r="D44" s="147">
        <f>SUM('5.10.1. sz. mell.'!S120)</f>
        <v>168529</v>
      </c>
      <c r="E44" s="147">
        <f>SUM('5.10.1. sz. mell.'!T120)</f>
        <v>192424</v>
      </c>
      <c r="F44" s="147">
        <f>SUM('5.10.1. sz. mell.'!K47+'5.10.1. sz. mell.'!K72+'5.10.1. sz. mell.'!K95+'5.10.1. sz. mell.'!K118+'5.10.1. sz. mell.'!K141)</f>
        <v>40317</v>
      </c>
      <c r="G44" s="147">
        <f>F44/E44*100</f>
        <v>20.952168128715755</v>
      </c>
    </row>
    <row r="45" spans="1:12" s="99" customFormat="1" ht="15" customHeight="1" x14ac:dyDescent="0.2">
      <c r="A45" s="97"/>
      <c r="B45" s="109" t="s">
        <v>52</v>
      </c>
      <c r="C45" s="3" t="s">
        <v>53</v>
      </c>
      <c r="D45" s="142">
        <f>SUM('5.10.1. sz. mell.'!S123)</f>
        <v>49730</v>
      </c>
      <c r="E45" s="142">
        <f>SUM('5.10.1. sz. mell.'!T123)</f>
        <v>49730</v>
      </c>
      <c r="F45" s="147">
        <f>SUM('5.10.1. sz. mell.'!K48+'5.10.1. sz. mell.'!K73+'5.10.1. sz. mell.'!K96+'5.10.1. sz. mell.'!K119+'5.10.1. sz. mell.'!K142)</f>
        <v>10439</v>
      </c>
      <c r="G45" s="142">
        <f>F45/E45*100</f>
        <v>20.991353307862457</v>
      </c>
    </row>
    <row r="46" spans="1:12" s="99" customFormat="1" ht="15" customHeight="1" x14ac:dyDescent="0.2">
      <c r="A46" s="97"/>
      <c r="B46" s="109" t="s">
        <v>54</v>
      </c>
      <c r="C46" s="3" t="s">
        <v>55</v>
      </c>
      <c r="D46" s="142">
        <f>SUM('5.10.1. sz. mell.'!S125)</f>
        <v>325196</v>
      </c>
      <c r="E46" s="142">
        <f>SUM('5.10.1. sz. mell.'!T125)</f>
        <v>355919</v>
      </c>
      <c r="F46" s="147">
        <f>SUM('5.10.1. sz. mell.'!K49+'5.10.1. sz. mell.'!K74+'5.10.1. sz. mell.'!K97+'5.10.1. sz. mell.'!K120+'5.10.1. sz. mell.'!K143)</f>
        <v>90740</v>
      </c>
      <c r="G46" s="142">
        <f>F46/E46*100</f>
        <v>25.494564774569493</v>
      </c>
    </row>
    <row r="47" spans="1:12" s="99" customFormat="1" ht="15" customHeight="1" x14ac:dyDescent="0.2">
      <c r="A47" s="97"/>
      <c r="B47" s="109" t="s">
        <v>56</v>
      </c>
      <c r="C47" s="3" t="s">
        <v>57</v>
      </c>
      <c r="D47" s="142">
        <v>0</v>
      </c>
      <c r="E47" s="142">
        <v>0</v>
      </c>
      <c r="F47" s="142">
        <v>0</v>
      </c>
      <c r="G47" s="142"/>
    </row>
    <row r="48" spans="1:12" s="99" customFormat="1" ht="15" customHeight="1" thickBot="1" x14ac:dyDescent="0.25">
      <c r="A48" s="97"/>
      <c r="B48" s="109" t="s">
        <v>58</v>
      </c>
      <c r="C48" s="3" t="s">
        <v>59</v>
      </c>
      <c r="D48" s="142">
        <v>0</v>
      </c>
      <c r="E48" s="142">
        <v>0</v>
      </c>
      <c r="F48" s="142"/>
      <c r="G48" s="142"/>
    </row>
    <row r="49" spans="1:12" s="99" customFormat="1" ht="15" customHeight="1" thickBot="1" x14ac:dyDescent="0.25">
      <c r="A49" s="1129" t="s">
        <v>3</v>
      </c>
      <c r="B49" s="2"/>
      <c r="C49" s="1156" t="s">
        <v>1513</v>
      </c>
      <c r="D49" s="141">
        <f>SUM(D50:D52)</f>
        <v>0</v>
      </c>
      <c r="E49" s="141">
        <f>SUM(E50:E52)</f>
        <v>3694</v>
      </c>
      <c r="F49" s="141">
        <f>SUM(F50:F52)</f>
        <v>1000</v>
      </c>
      <c r="G49" s="141">
        <f>F49/E49*100</f>
        <v>27.070925825663238</v>
      </c>
    </row>
    <row r="50" spans="1:12" s="96" customFormat="1" ht="15" customHeight="1" x14ac:dyDescent="0.2">
      <c r="A50" s="113"/>
      <c r="B50" s="1165" t="s">
        <v>4</v>
      </c>
      <c r="C50" s="1151" t="s">
        <v>1173</v>
      </c>
      <c r="D50" s="147">
        <v>0</v>
      </c>
      <c r="E50" s="147">
        <f>'5.10.1. sz. mell.'!T127</f>
        <v>3694</v>
      </c>
      <c r="F50" s="147">
        <f>SUM('5.10.1. sz. mell.'!K52+'5.10.1. sz. mell.'!K123)</f>
        <v>1000</v>
      </c>
      <c r="G50" s="147">
        <f>F50/E50*100</f>
        <v>27.070925825663238</v>
      </c>
    </row>
    <row r="51" spans="1:12" s="99" customFormat="1" ht="15" customHeight="1" x14ac:dyDescent="0.2">
      <c r="A51" s="97"/>
      <c r="B51" s="1166" t="s">
        <v>6</v>
      </c>
      <c r="C51" s="1144" t="s">
        <v>64</v>
      </c>
      <c r="D51" s="142">
        <v>0</v>
      </c>
      <c r="E51" s="142">
        <f>'5.10.1. sz. mell.'!T126</f>
        <v>0</v>
      </c>
      <c r="F51" s="142">
        <f>'5.10.1. sz. mell.'!U126</f>
        <v>0</v>
      </c>
      <c r="G51" s="142" t="e">
        <f>F51/E51*100</f>
        <v>#DIV/0!</v>
      </c>
    </row>
    <row r="52" spans="1:12" s="99" customFormat="1" ht="14.25" customHeight="1" thickBot="1" x14ac:dyDescent="0.25">
      <c r="A52" s="97"/>
      <c r="B52" s="1166" t="s">
        <v>7</v>
      </c>
      <c r="C52" s="1144" t="s">
        <v>1500</v>
      </c>
      <c r="D52" s="142">
        <v>0</v>
      </c>
      <c r="E52" s="142">
        <v>0</v>
      </c>
      <c r="F52" s="142">
        <v>0</v>
      </c>
      <c r="G52" s="142"/>
    </row>
    <row r="53" spans="1:12" s="99" customFormat="1" ht="15" customHeight="1" thickBot="1" x14ac:dyDescent="0.25">
      <c r="A53" s="150" t="s">
        <v>12</v>
      </c>
      <c r="B53" s="151"/>
      <c r="C53" s="354" t="s">
        <v>1501</v>
      </c>
      <c r="D53" s="152" t="e">
        <f>+D43+D49+#REF!</f>
        <v>#REF!</v>
      </c>
      <c r="E53" s="152" t="e">
        <f>+E43+E49+#REF!</f>
        <v>#REF!</v>
      </c>
      <c r="F53" s="152">
        <f>+F43+F49</f>
        <v>142496</v>
      </c>
      <c r="G53" s="152" t="e">
        <f>F53/E53*100</f>
        <v>#REF!</v>
      </c>
      <c r="K53" s="110"/>
      <c r="L53" s="110"/>
    </row>
    <row r="54" spans="1:12" s="99" customFormat="1" ht="15" customHeight="1" thickBot="1" x14ac:dyDescent="0.25">
      <c r="A54" s="131"/>
      <c r="B54" s="132"/>
      <c r="C54" s="132"/>
      <c r="D54" s="132"/>
      <c r="E54" s="132"/>
      <c r="F54" s="132"/>
      <c r="G54" s="132"/>
    </row>
    <row r="55" spans="1:12" s="99" customFormat="1" ht="15" customHeight="1" thickBot="1" x14ac:dyDescent="0.25">
      <c r="A55" s="133" t="s">
        <v>136</v>
      </c>
      <c r="B55" s="134"/>
      <c r="C55" s="135"/>
      <c r="D55" s="136">
        <f>SUM('5.10.1. sz. mell.'!I200)</f>
        <v>73</v>
      </c>
      <c r="E55" s="136">
        <f>SUM('5.10.1. sz. mell.'!J200)</f>
        <v>73</v>
      </c>
      <c r="F55" s="136">
        <f>SUM('5.10.1. sz. mell.'!K80+'5.10.1. sz. mell.'!K103+'5.10.1. sz. mell.'!K126)</f>
        <v>11</v>
      </c>
      <c r="G55" s="136"/>
    </row>
    <row r="56" spans="1:12" s="99" customFormat="1" ht="15" customHeight="1" thickBot="1" x14ac:dyDescent="0.25">
      <c r="A56" s="133" t="s">
        <v>137</v>
      </c>
      <c r="B56" s="134"/>
      <c r="C56" s="135"/>
      <c r="D56" s="356"/>
      <c r="E56" s="356"/>
      <c r="F56" s="356"/>
      <c r="G5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23622047244094491" top="0.35433070866141736" bottom="0.39370078740157483" header="0.19685039370078741" footer="0.15748031496062992"/>
  <pageSetup paperSize="9" scale="85" firstPageNumber="88" orientation="portrait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view="pageBreakPreview" zoomScaleNormal="140" zoomScaleSheetLayoutView="10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5.1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9" width="9.33203125" style="76"/>
    <col min="10" max="10" width="15.33203125" style="76" customWidth="1"/>
    <col min="11" max="12" width="9.83203125" style="76" bestFit="1" customWidth="1"/>
    <col min="13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1825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623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1541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440"/>
      <c r="D4" s="1527" t="s">
        <v>1025</v>
      </c>
      <c r="E4" s="1527"/>
      <c r="F4" s="1527"/>
      <c r="G4" s="82"/>
    </row>
    <row r="5" spans="1:7" s="99" customFormat="1" ht="32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2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29" t="s">
        <v>2</v>
      </c>
      <c r="B8" s="94"/>
      <c r="C8" s="1142" t="s">
        <v>1774</v>
      </c>
      <c r="D8" s="141">
        <f>SUM(D9:D18)</f>
        <v>19150</v>
      </c>
      <c r="E8" s="141">
        <f t="shared" ref="E8:F8" si="0">SUM(E9:E18)</f>
        <v>19150</v>
      </c>
      <c r="F8" s="141">
        <f t="shared" si="0"/>
        <v>11851</v>
      </c>
      <c r="G8" s="141">
        <f>F8/E8*100</f>
        <v>61.885117493472585</v>
      </c>
    </row>
    <row r="9" spans="1:7" s="96" customFormat="1" ht="15" customHeight="1" x14ac:dyDescent="0.2">
      <c r="A9" s="1130"/>
      <c r="B9" s="98" t="s">
        <v>50</v>
      </c>
      <c r="C9" s="1143" t="s">
        <v>1472</v>
      </c>
      <c r="D9" s="144">
        <v>0</v>
      </c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f>SUM('5.10.1. sz. mell.'!S105)</f>
        <v>19150</v>
      </c>
      <c r="E10" s="142">
        <f>SUM('5.10.1. sz. mell.'!T105)</f>
        <v>19150</v>
      </c>
      <c r="F10" s="142">
        <f>SUM('5.10.1. sz. mell.'!K177)</f>
        <v>5205</v>
      </c>
      <c r="G10" s="142">
        <f>F10/E10*100</f>
        <v>27.180156657963444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>
        <v>0</v>
      </c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f>SUM('5.10.1. sz. mell.'!K8)</f>
        <v>6646</v>
      </c>
      <c r="G18" s="145"/>
    </row>
    <row r="19" spans="1:7" s="96" customFormat="1" ht="33" customHeight="1" thickBot="1" x14ac:dyDescent="0.25">
      <c r="A19" s="1129" t="s">
        <v>3</v>
      </c>
      <c r="B19" s="94"/>
      <c r="C19" s="1142" t="s">
        <v>1482</v>
      </c>
      <c r="D19" s="141">
        <f>SUM(D21:D25)</f>
        <v>442256</v>
      </c>
      <c r="E19" s="141">
        <f t="shared" ref="E19:F19" si="1">SUM(E21:E25)</f>
        <v>442256</v>
      </c>
      <c r="F19" s="141">
        <f t="shared" si="1"/>
        <v>361860</v>
      </c>
      <c r="G19" s="141">
        <f>F19/E19*100</f>
        <v>81.821388517057997</v>
      </c>
    </row>
    <row r="20" spans="1:7" s="96" customFormat="1" ht="15" customHeight="1" x14ac:dyDescent="0.2">
      <c r="A20" s="100"/>
      <c r="B20" s="98" t="s">
        <v>4</v>
      </c>
      <c r="C20" s="1151" t="s">
        <v>1483</v>
      </c>
      <c r="D20" s="1225"/>
      <c r="E20" s="1225"/>
      <c r="F20" s="1225"/>
      <c r="G20" s="1225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f>SUM('5.10.1. sz. mell.'!S110)</f>
        <v>442256</v>
      </c>
      <c r="E21" s="142">
        <f>SUM('5.10.1. sz. mell.'!T110)</f>
        <v>442256</v>
      </c>
      <c r="F21" s="142">
        <f>SUM('5.10.1. sz. mell.'!K13+'5.10.1. sz. mell.'!K158+'5.10.1. sz. mell.'!K181)</f>
        <v>361860</v>
      </c>
      <c r="G21" s="142">
        <f>F21/E21*100</f>
        <v>81.821388517057997</v>
      </c>
    </row>
    <row r="22" spans="1:7" s="99" customFormat="1" ht="30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>
        <v>0</v>
      </c>
      <c r="G22" s="142" t="e">
        <f>F22/E22*100</f>
        <v>#DIV/0!</v>
      </c>
    </row>
    <row r="23" spans="1:7" s="99" customFormat="1" ht="15" customHeight="1" x14ac:dyDescent="0.2">
      <c r="A23" s="97"/>
      <c r="B23" s="1148" t="s">
        <v>212</v>
      </c>
      <c r="C23" s="3" t="s">
        <v>501</v>
      </c>
      <c r="D23" s="142">
        <v>0</v>
      </c>
      <c r="E23" s="142">
        <v>0</v>
      </c>
      <c r="F23" s="142">
        <v>0</v>
      </c>
      <c r="G23" s="142"/>
    </row>
    <row r="24" spans="1:7" s="99" customFormat="1" ht="15" customHeight="1" x14ac:dyDescent="0.2">
      <c r="A24" s="1222"/>
      <c r="B24" s="1148" t="s">
        <v>6</v>
      </c>
      <c r="C24" s="1144" t="s">
        <v>1485</v>
      </c>
      <c r="D24" s="1223"/>
      <c r="E24" s="1223"/>
      <c r="F24" s="1223"/>
      <c r="G24" s="1223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f>SUM('5.10.1. sz. mell.'!K20)</f>
        <v>0</v>
      </c>
      <c r="G25" s="142"/>
    </row>
    <row r="26" spans="1:7" s="99" customFormat="1" ht="15" customHeight="1" thickBot="1" x14ac:dyDescent="0.25">
      <c r="A26" s="1208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 t="e">
        <f>F26/E26*100</f>
        <v>#DIV/0!</v>
      </c>
    </row>
    <row r="27" spans="1:7" s="99" customFormat="1" ht="15" customHeight="1" thickBot="1" x14ac:dyDescent="0.25">
      <c r="A27" s="1208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31.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12" s="96" customFormat="1" ht="30.7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12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12" s="96" customFormat="1" ht="34.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12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24012</v>
      </c>
      <c r="F36" s="148">
        <f>+F37+F38+F39</f>
        <v>24650</v>
      </c>
      <c r="G36" s="148">
        <f>F36/E36*100</f>
        <v>102.65700483091787</v>
      </c>
    </row>
    <row r="37" spans="1:12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f>'5.10.1. sz. mell.'!T116</f>
        <v>24012</v>
      </c>
      <c r="F37" s="149">
        <f>'5.10.1. sz. mell.'!U116</f>
        <v>0</v>
      </c>
      <c r="G37" s="149">
        <f>F37/E37*100</f>
        <v>0</v>
      </c>
    </row>
    <row r="38" spans="1:12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  <c r="J38" s="99"/>
      <c r="K38" s="110"/>
      <c r="L38" s="110"/>
    </row>
    <row r="39" spans="1:12" s="99" customFormat="1" ht="15" customHeight="1" thickBot="1" x14ac:dyDescent="0.25">
      <c r="A39" s="1210"/>
      <c r="B39" s="1160" t="s">
        <v>1499</v>
      </c>
      <c r="C39" s="1144" t="s">
        <v>1498</v>
      </c>
      <c r="D39" s="119">
        <f>SUM('5.10.1. sz. mell.'!S112)</f>
        <v>82049</v>
      </c>
      <c r="E39" s="119">
        <f>SUM('5.10.1. sz. mell.'!T112)+'5.10.1. sz. mell.'!T114</f>
        <v>112944</v>
      </c>
      <c r="F39" s="119">
        <f>SUM('5.10.1. sz. mell.'!K183+'5.10.1. sz. mell.'!K160+'5.10.1. sz. mell.'!K15)</f>
        <v>24650</v>
      </c>
      <c r="G39" s="119">
        <f>F39/E39*100</f>
        <v>21.824975208953109</v>
      </c>
      <c r="K39" s="110"/>
      <c r="L39" s="110"/>
    </row>
    <row r="40" spans="1:12" s="99" customFormat="1" ht="15" customHeight="1" thickBot="1" x14ac:dyDescent="0.25">
      <c r="A40" s="150" t="s">
        <v>38</v>
      </c>
      <c r="B40" s="151"/>
      <c r="C40" s="354" t="s">
        <v>510</v>
      </c>
      <c r="D40" s="152">
        <f>SUM(D8,D19,D26,D32,D36,D39)</f>
        <v>543455</v>
      </c>
      <c r="E40" s="152" t="e">
        <f>SUM(E8,E19,E26,E32,E36,E39,#REF!)</f>
        <v>#REF!</v>
      </c>
      <c r="F40" s="152">
        <f>SUM(F8,F19,F26,F32,F36)</f>
        <v>398361</v>
      </c>
      <c r="G40" s="152" t="e">
        <f>F40/E40*100</f>
        <v>#REF!</v>
      </c>
      <c r="K40" s="110"/>
      <c r="L40" s="110"/>
    </row>
    <row r="41" spans="1:12" s="99" customFormat="1" ht="15" customHeight="1" thickBot="1" x14ac:dyDescent="0.25">
      <c r="A41" s="336"/>
      <c r="B41" s="336"/>
      <c r="C41" s="355"/>
      <c r="D41" s="388"/>
      <c r="E41" s="388"/>
      <c r="F41" s="388"/>
      <c r="G41" s="388"/>
    </row>
    <row r="42" spans="1:12" s="411" customFormat="1" ht="15" customHeight="1" thickBot="1" x14ac:dyDescent="0.25">
      <c r="A42" s="150"/>
      <c r="B42" s="151"/>
      <c r="C42" s="387" t="s">
        <v>82</v>
      </c>
      <c r="D42" s="152"/>
      <c r="E42" s="152"/>
      <c r="F42" s="152"/>
      <c r="G42" s="152"/>
    </row>
    <row r="43" spans="1:12" s="96" customFormat="1" ht="15" customHeight="1" thickBot="1" x14ac:dyDescent="0.25">
      <c r="A43" s="1129" t="s">
        <v>2</v>
      </c>
      <c r="B43" s="2"/>
      <c r="C43" s="10" t="s">
        <v>49</v>
      </c>
      <c r="D43" s="141">
        <f>SUM(D44:D48)</f>
        <v>543455</v>
      </c>
      <c r="E43" s="141">
        <f t="shared" ref="E43:F43" si="3">SUM(E44:E48)</f>
        <v>598073</v>
      </c>
      <c r="F43" s="141">
        <f t="shared" si="3"/>
        <v>396361</v>
      </c>
      <c r="G43" s="141">
        <f>F43/E43*100</f>
        <v>66.273013495008144</v>
      </c>
    </row>
    <row r="44" spans="1:12" s="99" customFormat="1" ht="15" customHeight="1" x14ac:dyDescent="0.2">
      <c r="A44" s="113"/>
      <c r="B44" s="124" t="s">
        <v>50</v>
      </c>
      <c r="C44" s="7" t="s">
        <v>51</v>
      </c>
      <c r="D44" s="147">
        <f>SUM('5.10.1. sz. mell.'!S120)</f>
        <v>168529</v>
      </c>
      <c r="E44" s="147">
        <f>SUM('5.10.1. sz. mell.'!T120)</f>
        <v>192424</v>
      </c>
      <c r="F44" s="147">
        <f>SUM('5.10.1. sz. mell.'!K24+'5.10.1. sz. mell.'!K166+'5.10.1. sz. mell.'!K189)</f>
        <v>158474</v>
      </c>
      <c r="G44" s="147">
        <f>F44/E44*100</f>
        <v>82.35667068556937</v>
      </c>
    </row>
    <row r="45" spans="1:12" s="99" customFormat="1" ht="15" customHeight="1" x14ac:dyDescent="0.2">
      <c r="A45" s="97"/>
      <c r="B45" s="109" t="s">
        <v>52</v>
      </c>
      <c r="C45" s="3" t="s">
        <v>53</v>
      </c>
      <c r="D45" s="142">
        <f>SUM('5.10.1. sz. mell.'!S123)</f>
        <v>49730</v>
      </c>
      <c r="E45" s="142">
        <f>SUM('5.10.1. sz. mell.'!T123)</f>
        <v>49730</v>
      </c>
      <c r="F45" s="147">
        <f>SUM('5.10.1. sz. mell.'!K25+'5.10.1. sz. mell.'!K167+'5.10.1. sz. mell.'!K190)</f>
        <v>40786</v>
      </c>
      <c r="G45" s="142">
        <f>F45/E45*100</f>
        <v>82.014880353911124</v>
      </c>
    </row>
    <row r="46" spans="1:12" s="99" customFormat="1" ht="15" customHeight="1" x14ac:dyDescent="0.2">
      <c r="A46" s="97"/>
      <c r="B46" s="109" t="s">
        <v>54</v>
      </c>
      <c r="C46" s="3" t="s">
        <v>55</v>
      </c>
      <c r="D46" s="142">
        <f>SUM('5.10.1. sz. mell.'!S125)</f>
        <v>325196</v>
      </c>
      <c r="E46" s="142">
        <f>SUM('5.10.1. sz. mell.'!T125)</f>
        <v>355919</v>
      </c>
      <c r="F46" s="147">
        <f>SUM('5.10.1. sz. mell.'!K26+'5.10.1. sz. mell.'!K168+'5.10.1. sz. mell.'!K191)</f>
        <v>197101</v>
      </c>
      <c r="G46" s="142">
        <f>F46/E46*100</f>
        <v>55.378049500026691</v>
      </c>
    </row>
    <row r="47" spans="1:12" s="99" customFormat="1" ht="15" customHeight="1" x14ac:dyDescent="0.2">
      <c r="A47" s="97"/>
      <c r="B47" s="109" t="s">
        <v>56</v>
      </c>
      <c r="C47" s="3" t="s">
        <v>57</v>
      </c>
      <c r="D47" s="142">
        <v>0</v>
      </c>
      <c r="E47" s="142">
        <v>0</v>
      </c>
      <c r="F47" s="142">
        <v>0</v>
      </c>
      <c r="G47" s="142"/>
    </row>
    <row r="48" spans="1:12" s="99" customFormat="1" ht="15" customHeight="1" thickBot="1" x14ac:dyDescent="0.25">
      <c r="A48" s="97"/>
      <c r="B48" s="109" t="s">
        <v>58</v>
      </c>
      <c r="C48" s="3" t="s">
        <v>59</v>
      </c>
      <c r="D48" s="142">
        <v>0</v>
      </c>
      <c r="E48" s="142">
        <v>0</v>
      </c>
      <c r="F48" s="142"/>
      <c r="G48" s="142"/>
    </row>
    <row r="49" spans="1:12" s="99" customFormat="1" ht="15" customHeight="1" thickBot="1" x14ac:dyDescent="0.25">
      <c r="A49" s="1129" t="s">
        <v>3</v>
      </c>
      <c r="B49" s="2"/>
      <c r="C49" s="1156" t="s">
        <v>1513</v>
      </c>
      <c r="D49" s="141">
        <f>SUM(D50:D52)</f>
        <v>0</v>
      </c>
      <c r="E49" s="141">
        <f>SUM(E50:E52)</f>
        <v>3694</v>
      </c>
      <c r="F49" s="141">
        <f>SUM(F50:F52)</f>
        <v>2000</v>
      </c>
      <c r="G49" s="141">
        <f>F49/E49*100</f>
        <v>54.141851651326476</v>
      </c>
    </row>
    <row r="50" spans="1:12" s="96" customFormat="1" ht="15" customHeight="1" x14ac:dyDescent="0.2">
      <c r="A50" s="113"/>
      <c r="B50" s="1165" t="s">
        <v>4</v>
      </c>
      <c r="C50" s="1151" t="s">
        <v>1173</v>
      </c>
      <c r="D50" s="147">
        <v>0</v>
      </c>
      <c r="E50" s="147">
        <f>'5.10.1. sz. mell.'!T127</f>
        <v>3694</v>
      </c>
      <c r="F50" s="147">
        <f>SUM('5.10.1. sz. mell.'!K29+'5.10.1. sz. mell.'!K171+'5.10.1. sz. mell.'!K194)</f>
        <v>2000</v>
      </c>
      <c r="G50" s="147">
        <f>F50/E50*100</f>
        <v>54.141851651326476</v>
      </c>
    </row>
    <row r="51" spans="1:12" s="99" customFormat="1" ht="15" customHeight="1" x14ac:dyDescent="0.2">
      <c r="A51" s="97"/>
      <c r="B51" s="1166" t="s">
        <v>6</v>
      </c>
      <c r="C51" s="1144" t="s">
        <v>64</v>
      </c>
      <c r="D51" s="142">
        <v>0</v>
      </c>
      <c r="E51" s="142">
        <f>'5.10.1. sz. mell.'!T126</f>
        <v>0</v>
      </c>
      <c r="F51" s="142">
        <f>'5.10.1. sz. mell.'!U126</f>
        <v>0</v>
      </c>
      <c r="G51" s="142" t="e">
        <f>F51/E51*100</f>
        <v>#DIV/0!</v>
      </c>
    </row>
    <row r="52" spans="1:12" s="99" customFormat="1" ht="15.75" customHeight="1" thickBot="1" x14ac:dyDescent="0.25">
      <c r="A52" s="97"/>
      <c r="B52" s="1166" t="s">
        <v>7</v>
      </c>
      <c r="C52" s="1144" t="s">
        <v>1500</v>
      </c>
      <c r="D52" s="142">
        <v>0</v>
      </c>
      <c r="E52" s="142">
        <v>0</v>
      </c>
      <c r="F52" s="142">
        <v>0</v>
      </c>
      <c r="G52" s="142"/>
    </row>
    <row r="53" spans="1:12" s="99" customFormat="1" ht="15" customHeight="1" thickBot="1" x14ac:dyDescent="0.25">
      <c r="A53" s="150" t="s">
        <v>12</v>
      </c>
      <c r="B53" s="151"/>
      <c r="C53" s="354" t="s">
        <v>1501</v>
      </c>
      <c r="D53" s="152" t="e">
        <f>+D43+D49+#REF!</f>
        <v>#REF!</v>
      </c>
      <c r="E53" s="152" t="e">
        <f>+E43+E49+#REF!</f>
        <v>#REF!</v>
      </c>
      <c r="F53" s="152">
        <f>+F43+F49</f>
        <v>398361</v>
      </c>
      <c r="G53" s="152" t="e">
        <f>F53/E53*100</f>
        <v>#REF!</v>
      </c>
      <c r="K53" s="110"/>
      <c r="L53" s="110"/>
    </row>
    <row r="54" spans="1:12" s="99" customFormat="1" ht="15" customHeight="1" thickBot="1" x14ac:dyDescent="0.25">
      <c r="A54" s="131"/>
      <c r="B54" s="132"/>
      <c r="C54" s="132"/>
      <c r="D54" s="132"/>
      <c r="E54" s="132"/>
      <c r="F54" s="132"/>
      <c r="G54" s="132"/>
    </row>
    <row r="55" spans="1:12" s="99" customFormat="1" ht="15" customHeight="1" thickBot="1" x14ac:dyDescent="0.25">
      <c r="A55" s="133" t="s">
        <v>136</v>
      </c>
      <c r="B55" s="134"/>
      <c r="C55" s="135"/>
      <c r="D55" s="136">
        <f>SUM('5.10.1. sz. mell.'!I200)</f>
        <v>73</v>
      </c>
      <c r="E55" s="136">
        <f>SUM('5.10.1. sz. mell.'!J200)</f>
        <v>73</v>
      </c>
      <c r="F55" s="136">
        <f>SUM('5.10.1. sz. mell.'!K32+'5.10.1. sz. mell.'!K174+'5.10.1. sz. mell.'!K197)</f>
        <v>62</v>
      </c>
      <c r="G55" s="136"/>
    </row>
    <row r="56" spans="1:12" s="99" customFormat="1" ht="15" customHeight="1" thickBot="1" x14ac:dyDescent="0.25">
      <c r="A56" s="133" t="s">
        <v>137</v>
      </c>
      <c r="B56" s="134"/>
      <c r="C56" s="135"/>
      <c r="D56" s="356"/>
      <c r="E56" s="356"/>
      <c r="F56" s="356"/>
      <c r="G56" s="356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23622047244094491" top="0.35433070866141736" bottom="0.39370078740157483" header="0.19685039370078741" footer="0.15748031496062992"/>
  <pageSetup paperSize="9" scale="85" firstPageNumber="88" orientation="portrait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view="pageBreakPreview" zoomScaleNormal="140" zoomScaleSheetLayoutView="100" workbookViewId="0">
      <selection activeCell="D1" sqref="D1:G1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1.6640625" style="76" customWidth="1"/>
    <col min="4" max="4" width="15.1640625" style="76" hidden="1" customWidth="1"/>
    <col min="5" max="5" width="13.83203125" style="76" hidden="1" customWidth="1"/>
    <col min="6" max="6" width="20.6640625" style="76" customWidth="1"/>
    <col min="7" max="7" width="9.1640625" style="76" hidden="1" customWidth="1"/>
    <col min="8" max="9" width="9.33203125" style="76"/>
    <col min="10" max="10" width="15.33203125" style="76" customWidth="1"/>
    <col min="11" max="12" width="9.83203125" style="76" bestFit="1" customWidth="1"/>
    <col min="13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1826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623</v>
      </c>
      <c r="D2" s="1523" t="s">
        <v>1024</v>
      </c>
      <c r="E2" s="343"/>
      <c r="F2" s="1523" t="s">
        <v>1420</v>
      </c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1542</v>
      </c>
      <c r="D3" s="1524"/>
      <c r="E3" s="327"/>
      <c r="F3" s="1524"/>
      <c r="G3" s="327"/>
    </row>
    <row r="4" spans="1:7" s="410" customFormat="1" ht="15" customHeight="1" thickBot="1" x14ac:dyDescent="0.3">
      <c r="A4" s="81"/>
      <c r="B4" s="81"/>
      <c r="C4" s="440"/>
      <c r="D4" s="1527" t="s">
        <v>1025</v>
      </c>
      <c r="E4" s="1527"/>
      <c r="F4" s="1527"/>
      <c r="G4" s="82"/>
    </row>
    <row r="5" spans="1:7" s="99" customFormat="1" ht="32.25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/>
      <c r="G5" s="86" t="s">
        <v>1</v>
      </c>
    </row>
    <row r="6" spans="1:7" s="411" customFormat="1" ht="15" customHeight="1" thickBot="1" x14ac:dyDescent="0.25">
      <c r="A6" s="1128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thickBot="1" x14ac:dyDescent="0.25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thickBot="1" x14ac:dyDescent="0.25">
      <c r="A8" s="1129" t="s">
        <v>2</v>
      </c>
      <c r="B8" s="94"/>
      <c r="C8" s="1142" t="s">
        <v>1774</v>
      </c>
      <c r="D8" s="141">
        <f>SUM(D9:D18)</f>
        <v>19150</v>
      </c>
      <c r="E8" s="141">
        <f t="shared" ref="E8:F8" si="0">SUM(E9:E18)</f>
        <v>19150</v>
      </c>
      <c r="F8" s="141">
        <f t="shared" si="0"/>
        <v>0</v>
      </c>
      <c r="G8" s="141">
        <f>F8/E8*100</f>
        <v>0</v>
      </c>
    </row>
    <row r="9" spans="1:7" s="96" customFormat="1" ht="15" customHeight="1" x14ac:dyDescent="0.2">
      <c r="A9" s="1130"/>
      <c r="B9" s="98" t="s">
        <v>50</v>
      </c>
      <c r="C9" s="1143" t="s">
        <v>1472</v>
      </c>
      <c r="D9" s="144">
        <v>0</v>
      </c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1144" t="s">
        <v>1473</v>
      </c>
      <c r="D10" s="142">
        <f>SUM('5.10.1. sz. mell.'!S105)</f>
        <v>19150</v>
      </c>
      <c r="E10" s="142">
        <f>SUM('5.10.1. sz. mell.'!T105)</f>
        <v>19150</v>
      </c>
      <c r="F10" s="142"/>
      <c r="G10" s="142">
        <f>F10/E10*100</f>
        <v>0</v>
      </c>
    </row>
    <row r="11" spans="1:7" s="96" customFormat="1" ht="15" customHeight="1" x14ac:dyDescent="0.2">
      <c r="A11" s="97"/>
      <c r="B11" s="98" t="s">
        <v>54</v>
      </c>
      <c r="C11" s="1144" t="s">
        <v>1474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1144" t="s">
        <v>1475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1476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00"/>
      <c r="B14" s="98" t="s">
        <v>228</v>
      </c>
      <c r="C14" s="1144" t="s">
        <v>1477</v>
      </c>
      <c r="D14" s="143">
        <v>0</v>
      </c>
      <c r="E14" s="143">
        <v>0</v>
      </c>
      <c r="F14" s="143">
        <v>0</v>
      </c>
      <c r="G14" s="143"/>
    </row>
    <row r="15" spans="1:7" s="99" customFormat="1" ht="15" customHeight="1" x14ac:dyDescent="0.2">
      <c r="A15" s="97"/>
      <c r="B15" s="98" t="s">
        <v>230</v>
      </c>
      <c r="C15" s="1144" t="s">
        <v>1478</v>
      </c>
      <c r="D15" s="142">
        <v>0</v>
      </c>
      <c r="E15" s="142">
        <v>0</v>
      </c>
      <c r="F15" s="142">
        <v>0</v>
      </c>
      <c r="G15" s="142"/>
    </row>
    <row r="16" spans="1:7" s="99" customFormat="1" ht="15" customHeight="1" x14ac:dyDescent="0.2">
      <c r="A16" s="1214"/>
      <c r="B16" s="105" t="s">
        <v>232</v>
      </c>
      <c r="C16" s="1144" t="s">
        <v>1479</v>
      </c>
      <c r="D16" s="1215"/>
      <c r="E16" s="1215"/>
      <c r="F16" s="1215"/>
      <c r="G16" s="1215"/>
    </row>
    <row r="17" spans="1:7" s="99" customFormat="1" ht="15" customHeight="1" x14ac:dyDescent="0.2">
      <c r="A17" s="1214"/>
      <c r="B17" s="1170" t="s">
        <v>234</v>
      </c>
      <c r="C17" s="1149" t="s">
        <v>1480</v>
      </c>
      <c r="D17" s="1215"/>
      <c r="E17" s="1215"/>
      <c r="F17" s="1215"/>
      <c r="G17" s="1215"/>
    </row>
    <row r="18" spans="1:7" s="99" customFormat="1" ht="15" customHeight="1" thickBot="1" x14ac:dyDescent="0.25">
      <c r="A18" s="104"/>
      <c r="B18" s="105" t="s">
        <v>420</v>
      </c>
      <c r="C18" s="5" t="s">
        <v>1481</v>
      </c>
      <c r="D18" s="145">
        <v>0</v>
      </c>
      <c r="E18" s="145">
        <v>0</v>
      </c>
      <c r="F18" s="145">
        <v>0</v>
      </c>
      <c r="G18" s="145"/>
    </row>
    <row r="19" spans="1:7" s="96" customFormat="1" ht="30" customHeight="1" thickBot="1" x14ac:dyDescent="0.25">
      <c r="A19" s="1129" t="s">
        <v>3</v>
      </c>
      <c r="B19" s="94"/>
      <c r="C19" s="1142" t="s">
        <v>1482</v>
      </c>
      <c r="D19" s="141">
        <f>SUM(D21:D25)</f>
        <v>442256</v>
      </c>
      <c r="E19" s="141">
        <f t="shared" ref="E19:F19" si="1">SUM(E21:E25)</f>
        <v>442256</v>
      </c>
      <c r="F19" s="141">
        <f t="shared" si="1"/>
        <v>0</v>
      </c>
      <c r="G19" s="141">
        <f>F19/E19*100</f>
        <v>0</v>
      </c>
    </row>
    <row r="20" spans="1:7" s="96" customFormat="1" ht="15" customHeight="1" x14ac:dyDescent="0.2">
      <c r="A20" s="100"/>
      <c r="B20" s="98" t="s">
        <v>4</v>
      </c>
      <c r="C20" s="1151" t="s">
        <v>1483</v>
      </c>
      <c r="D20" s="1225"/>
      <c r="E20" s="1225"/>
      <c r="F20" s="1225"/>
      <c r="G20" s="1225"/>
    </row>
    <row r="21" spans="1:7" s="99" customFormat="1" ht="15" customHeight="1" x14ac:dyDescent="0.2">
      <c r="A21" s="97"/>
      <c r="B21" s="1148" t="s">
        <v>239</v>
      </c>
      <c r="C21" s="1152" t="s">
        <v>34</v>
      </c>
      <c r="D21" s="142">
        <f>SUM('5.10.1. sz. mell.'!S110)</f>
        <v>442256</v>
      </c>
      <c r="E21" s="142">
        <f>SUM('5.10.1. sz. mell.'!T110)</f>
        <v>442256</v>
      </c>
      <c r="F21" s="142"/>
      <c r="G21" s="142">
        <f>F21/E21*100</f>
        <v>0</v>
      </c>
    </row>
    <row r="22" spans="1:7" s="99" customFormat="1" ht="15" customHeight="1" x14ac:dyDescent="0.2">
      <c r="A22" s="97"/>
      <c r="B22" s="1148" t="s">
        <v>255</v>
      </c>
      <c r="C22" s="1152" t="s">
        <v>1484</v>
      </c>
      <c r="D22" s="142">
        <v>0</v>
      </c>
      <c r="E22" s="142">
        <v>0</v>
      </c>
      <c r="F22" s="142">
        <v>0</v>
      </c>
      <c r="G22" s="142" t="e">
        <f>F22/E22*100</f>
        <v>#DIV/0!</v>
      </c>
    </row>
    <row r="23" spans="1:7" s="99" customFormat="1" ht="15" customHeight="1" x14ac:dyDescent="0.2">
      <c r="A23" s="1222"/>
      <c r="B23" s="1148" t="s">
        <v>212</v>
      </c>
      <c r="C23" s="3" t="s">
        <v>501</v>
      </c>
      <c r="D23" s="1223"/>
      <c r="E23" s="1223"/>
      <c r="F23" s="1223"/>
      <c r="G23" s="1223"/>
    </row>
    <row r="24" spans="1:7" s="99" customFormat="1" ht="15" customHeight="1" x14ac:dyDescent="0.2">
      <c r="A24" s="97"/>
      <c r="B24" s="1148" t="s">
        <v>6</v>
      </c>
      <c r="C24" s="1144" t="s">
        <v>1485</v>
      </c>
      <c r="D24" s="142">
        <v>0</v>
      </c>
      <c r="E24" s="142">
        <v>0</v>
      </c>
      <c r="F24" s="142">
        <v>0</v>
      </c>
      <c r="G24" s="142"/>
    </row>
    <row r="25" spans="1:7" s="99" customFormat="1" ht="15" customHeight="1" thickBot="1" x14ac:dyDescent="0.25">
      <c r="A25" s="97"/>
      <c r="B25" s="98" t="s">
        <v>7</v>
      </c>
      <c r="C25" s="1144" t="s">
        <v>1486</v>
      </c>
      <c r="D25" s="142">
        <v>0</v>
      </c>
      <c r="E25" s="142">
        <v>0</v>
      </c>
      <c r="F25" s="142">
        <f>SUM('5.10.1. sz. mell.'!K20)</f>
        <v>0</v>
      </c>
      <c r="G25" s="142"/>
    </row>
    <row r="26" spans="1:7" s="99" customFormat="1" ht="15" customHeight="1" thickBot="1" x14ac:dyDescent="0.25">
      <c r="A26" s="1129" t="s">
        <v>12</v>
      </c>
      <c r="B26" s="2"/>
      <c r="C26" s="1142" t="s">
        <v>1487</v>
      </c>
      <c r="D26" s="119">
        <v>0</v>
      </c>
      <c r="E26" s="119">
        <v>0</v>
      </c>
      <c r="F26" s="119">
        <v>0</v>
      </c>
      <c r="G26" s="119" t="e">
        <f>F26/E26*100</f>
        <v>#DIV/0!</v>
      </c>
    </row>
    <row r="27" spans="1:7" s="99" customFormat="1" ht="15" customHeight="1" thickBot="1" x14ac:dyDescent="0.25">
      <c r="A27" s="1216"/>
      <c r="B27" s="1148" t="s">
        <v>13</v>
      </c>
      <c r="C27" s="1144" t="s">
        <v>1488</v>
      </c>
      <c r="D27" s="1224"/>
      <c r="E27" s="1224"/>
      <c r="F27" s="1224"/>
      <c r="G27" s="1224"/>
    </row>
    <row r="28" spans="1:7" s="99" customFormat="1" ht="15" customHeight="1" thickBot="1" x14ac:dyDescent="0.25">
      <c r="A28" s="1208" t="s">
        <v>68</v>
      </c>
      <c r="B28" s="94"/>
      <c r="C28" s="1156" t="s">
        <v>1505</v>
      </c>
      <c r="D28" s="1224"/>
      <c r="E28" s="1224"/>
      <c r="F28" s="1224"/>
      <c r="G28" s="1224"/>
    </row>
    <row r="29" spans="1:7" s="99" customFormat="1" ht="15" customHeight="1" thickBot="1" x14ac:dyDescent="0.25">
      <c r="A29" s="1209"/>
      <c r="B29" s="1160" t="s">
        <v>133</v>
      </c>
      <c r="C29" s="1144" t="s">
        <v>1489</v>
      </c>
      <c r="D29" s="1224"/>
      <c r="E29" s="1224"/>
      <c r="F29" s="1224"/>
      <c r="G29" s="1224"/>
    </row>
    <row r="30" spans="1:7" s="99" customFormat="1" ht="15" customHeight="1" thickBot="1" x14ac:dyDescent="0.25">
      <c r="A30" s="100"/>
      <c r="B30" s="1160" t="s">
        <v>983</v>
      </c>
      <c r="C30" s="1144" t="s">
        <v>1490</v>
      </c>
      <c r="D30" s="1224"/>
      <c r="E30" s="1224"/>
      <c r="F30" s="1224"/>
      <c r="G30" s="1224"/>
    </row>
    <row r="31" spans="1:7" s="99" customFormat="1" ht="15" customHeight="1" thickBot="1" x14ac:dyDescent="0.25">
      <c r="A31" s="1210"/>
      <c r="B31" s="1160" t="s">
        <v>149</v>
      </c>
      <c r="C31" s="1144" t="s">
        <v>1491</v>
      </c>
      <c r="D31" s="1224"/>
      <c r="E31" s="1224"/>
      <c r="F31" s="1224"/>
      <c r="G31" s="1224"/>
    </row>
    <row r="32" spans="1:7" s="96" customFormat="1" ht="28.5" customHeight="1" thickBot="1" x14ac:dyDescent="0.25">
      <c r="A32" s="1208" t="s">
        <v>27</v>
      </c>
      <c r="B32" s="1161"/>
      <c r="C32" s="1156" t="s">
        <v>1506</v>
      </c>
      <c r="D32" s="119">
        <v>0</v>
      </c>
      <c r="E32" s="119">
        <v>0</v>
      </c>
      <c r="F32" s="119">
        <v>0</v>
      </c>
      <c r="G32" s="119"/>
    </row>
    <row r="33" spans="1:12" s="96" customFormat="1" ht="15" customHeight="1" thickBot="1" x14ac:dyDescent="0.25">
      <c r="A33" s="100"/>
      <c r="B33" s="1162" t="s">
        <v>28</v>
      </c>
      <c r="C33" s="1151" t="s">
        <v>1492</v>
      </c>
      <c r="D33" s="1217"/>
      <c r="E33" s="1217"/>
      <c r="F33" s="1217"/>
      <c r="G33" s="1217"/>
    </row>
    <row r="34" spans="1:12" s="96" customFormat="1" ht="15" customHeight="1" thickBot="1" x14ac:dyDescent="0.3">
      <c r="A34" s="116" t="s">
        <v>32</v>
      </c>
      <c r="B34" s="117"/>
      <c r="C34" s="1142" t="s">
        <v>1493</v>
      </c>
      <c r="D34" s="1217"/>
      <c r="E34" s="1217"/>
      <c r="F34" s="1217"/>
      <c r="G34" s="1217"/>
    </row>
    <row r="35" spans="1:12" s="96" customFormat="1" ht="15" customHeight="1" thickBot="1" x14ac:dyDescent="0.25">
      <c r="A35" s="1180"/>
      <c r="B35" s="1164" t="s">
        <v>33</v>
      </c>
      <c r="C35" s="1144" t="s">
        <v>1494</v>
      </c>
      <c r="D35" s="1217"/>
      <c r="E35" s="1217"/>
      <c r="F35" s="1217"/>
      <c r="G35" s="1217"/>
    </row>
    <row r="36" spans="1:12" s="96" customFormat="1" ht="15" customHeight="1" thickBot="1" x14ac:dyDescent="0.3">
      <c r="A36" s="116" t="s">
        <v>74</v>
      </c>
      <c r="B36" s="117"/>
      <c r="C36" s="1156" t="s">
        <v>1495</v>
      </c>
      <c r="D36" s="148">
        <f>+D37+D38</f>
        <v>0</v>
      </c>
      <c r="E36" s="148">
        <f t="shared" ref="E36" si="2">+E37+E38</f>
        <v>24012</v>
      </c>
      <c r="F36" s="148">
        <f>+F37+F38+F39</f>
        <v>0</v>
      </c>
      <c r="G36" s="148">
        <f>F36/E36*100</f>
        <v>0</v>
      </c>
    </row>
    <row r="37" spans="1:12" s="96" customFormat="1" ht="15" customHeight="1" x14ac:dyDescent="0.2">
      <c r="A37" s="1209"/>
      <c r="B37" s="1160" t="s">
        <v>36</v>
      </c>
      <c r="C37" s="1144" t="s">
        <v>1496</v>
      </c>
      <c r="D37" s="149">
        <v>0</v>
      </c>
      <c r="E37" s="149">
        <f>'5.10.1. sz. mell.'!T116</f>
        <v>24012</v>
      </c>
      <c r="F37" s="149">
        <f>'5.10.1. sz. mell.'!U116</f>
        <v>0</v>
      </c>
      <c r="G37" s="149">
        <f>F37/E37*100</f>
        <v>0</v>
      </c>
    </row>
    <row r="38" spans="1:12" s="96" customFormat="1" ht="15" customHeight="1" thickBot="1" x14ac:dyDescent="0.25">
      <c r="A38" s="100"/>
      <c r="B38" s="1160" t="s">
        <v>37</v>
      </c>
      <c r="C38" s="1144" t="s">
        <v>1497</v>
      </c>
      <c r="D38" s="146">
        <v>0</v>
      </c>
      <c r="E38" s="146">
        <v>0</v>
      </c>
      <c r="F38" s="146">
        <v>0</v>
      </c>
      <c r="G38" s="146"/>
      <c r="J38" s="99"/>
      <c r="K38" s="110"/>
      <c r="L38" s="110"/>
    </row>
    <row r="39" spans="1:12" s="99" customFormat="1" ht="15" customHeight="1" thickBot="1" x14ac:dyDescent="0.25">
      <c r="A39" s="1210"/>
      <c r="B39" s="1160" t="s">
        <v>1499</v>
      </c>
      <c r="C39" s="1144" t="s">
        <v>1498</v>
      </c>
      <c r="D39" s="119">
        <f>SUM('5.10.1. sz. mell.'!S112)</f>
        <v>82049</v>
      </c>
      <c r="E39" s="119">
        <f>SUM('5.10.1. sz. mell.'!T112)+'5.10.1. sz. mell.'!T114</f>
        <v>112944</v>
      </c>
      <c r="F39" s="119"/>
      <c r="G39" s="119">
        <f>F39/E39*100</f>
        <v>0</v>
      </c>
      <c r="K39" s="110"/>
      <c r="L39" s="110"/>
    </row>
    <row r="40" spans="1:12" s="99" customFormat="1" ht="15" customHeight="1" thickBot="1" x14ac:dyDescent="0.25">
      <c r="A40" s="150" t="s">
        <v>74</v>
      </c>
      <c r="B40" s="151"/>
      <c r="C40" s="354" t="s">
        <v>543</v>
      </c>
      <c r="D40" s="152">
        <f>SUM(D8,D19,D26,D32,D36,D39)</f>
        <v>543455</v>
      </c>
      <c r="E40" s="152" t="e">
        <f>SUM(E8,E19,E26,E32,E36,E39,#REF!)</f>
        <v>#REF!</v>
      </c>
      <c r="F40" s="152">
        <f>SUM(F8,F19,F26,F32,F36)</f>
        <v>0</v>
      </c>
      <c r="G40" s="152" t="e">
        <f>F40/E40*100</f>
        <v>#REF!</v>
      </c>
    </row>
    <row r="41" spans="1:12" s="99" customFormat="1" ht="15" customHeight="1" thickBot="1" x14ac:dyDescent="0.25">
      <c r="A41" s="336"/>
      <c r="B41" s="336"/>
      <c r="C41" s="355"/>
      <c r="D41" s="388"/>
      <c r="E41" s="388"/>
      <c r="F41" s="388"/>
      <c r="G41" s="388"/>
      <c r="K41" s="110"/>
      <c r="L41" s="110"/>
    </row>
    <row r="42" spans="1:12" s="411" customFormat="1" ht="15" customHeight="1" thickBot="1" x14ac:dyDescent="0.25">
      <c r="A42" s="150"/>
      <c r="B42" s="151"/>
      <c r="C42" s="387" t="s">
        <v>82</v>
      </c>
      <c r="D42" s="152"/>
      <c r="E42" s="152"/>
      <c r="F42" s="152"/>
      <c r="G42" s="152"/>
      <c r="J42" s="99"/>
      <c r="K42" s="110"/>
      <c r="L42" s="110"/>
    </row>
    <row r="43" spans="1:12" s="96" customFormat="1" ht="15" customHeight="1" thickBot="1" x14ac:dyDescent="0.25">
      <c r="A43" s="1129" t="s">
        <v>2</v>
      </c>
      <c r="B43" s="2"/>
      <c r="C43" s="10" t="s">
        <v>49</v>
      </c>
      <c r="D43" s="141">
        <f>SUM(D44:D48)</f>
        <v>543455</v>
      </c>
      <c r="E43" s="141">
        <f t="shared" ref="E43:F43" si="3">SUM(E44:E48)</f>
        <v>598073</v>
      </c>
      <c r="F43" s="141">
        <f t="shared" si="3"/>
        <v>0</v>
      </c>
      <c r="G43" s="141">
        <f>F43/E43*100</f>
        <v>0</v>
      </c>
    </row>
    <row r="44" spans="1:12" s="99" customFormat="1" ht="15" customHeight="1" x14ac:dyDescent="0.2">
      <c r="A44" s="113"/>
      <c r="B44" s="124" t="s">
        <v>50</v>
      </c>
      <c r="C44" s="7" t="s">
        <v>51</v>
      </c>
      <c r="D44" s="147">
        <f>SUM('5.10.1. sz. mell.'!S120)</f>
        <v>168529</v>
      </c>
      <c r="E44" s="147">
        <f>SUM('5.10.1. sz. mell.'!T120)</f>
        <v>192424</v>
      </c>
      <c r="F44" s="147"/>
      <c r="G44" s="147">
        <f>F44/E44*100</f>
        <v>0</v>
      </c>
    </row>
    <row r="45" spans="1:12" s="99" customFormat="1" ht="15" customHeight="1" x14ac:dyDescent="0.2">
      <c r="A45" s="97"/>
      <c r="B45" s="109" t="s">
        <v>52</v>
      </c>
      <c r="C45" s="3" t="s">
        <v>53</v>
      </c>
      <c r="D45" s="142">
        <f>SUM('5.10.1. sz. mell.'!S123)</f>
        <v>49730</v>
      </c>
      <c r="E45" s="142">
        <f>SUM('5.10.1. sz. mell.'!T123)</f>
        <v>49730</v>
      </c>
      <c r="F45" s="142"/>
      <c r="G45" s="142">
        <f>F45/E45*100</f>
        <v>0</v>
      </c>
    </row>
    <row r="46" spans="1:12" s="99" customFormat="1" ht="15" customHeight="1" x14ac:dyDescent="0.2">
      <c r="A46" s="97"/>
      <c r="B46" s="109" t="s">
        <v>54</v>
      </c>
      <c r="C46" s="3" t="s">
        <v>55</v>
      </c>
      <c r="D46" s="142">
        <f>SUM('5.10.1. sz. mell.'!S125)</f>
        <v>325196</v>
      </c>
      <c r="E46" s="142">
        <f>SUM('5.10.1. sz. mell.'!T125)</f>
        <v>355919</v>
      </c>
      <c r="F46" s="142"/>
      <c r="G46" s="142">
        <f>F46/E46*100</f>
        <v>0</v>
      </c>
    </row>
    <row r="47" spans="1:12" s="99" customFormat="1" ht="15" customHeight="1" x14ac:dyDescent="0.2">
      <c r="A47" s="97"/>
      <c r="B47" s="109" t="s">
        <v>56</v>
      </c>
      <c r="C47" s="3" t="s">
        <v>57</v>
      </c>
      <c r="D47" s="142">
        <v>0</v>
      </c>
      <c r="E47" s="142">
        <v>0</v>
      </c>
      <c r="F47" s="142">
        <v>0</v>
      </c>
      <c r="G47" s="142"/>
    </row>
    <row r="48" spans="1:12" s="99" customFormat="1" ht="15" customHeight="1" thickBot="1" x14ac:dyDescent="0.25">
      <c r="A48" s="97"/>
      <c r="B48" s="109" t="s">
        <v>58</v>
      </c>
      <c r="C48" s="3" t="s">
        <v>59</v>
      </c>
      <c r="D48" s="142">
        <v>0</v>
      </c>
      <c r="E48" s="142">
        <v>0</v>
      </c>
      <c r="F48" s="142"/>
      <c r="G48" s="142"/>
    </row>
    <row r="49" spans="1:12" s="99" customFormat="1" ht="15" customHeight="1" thickBot="1" x14ac:dyDescent="0.25">
      <c r="A49" s="1129" t="s">
        <v>3</v>
      </c>
      <c r="B49" s="2"/>
      <c r="C49" s="1156" t="s">
        <v>1513</v>
      </c>
      <c r="D49" s="141">
        <f>SUM(D50:D52)</f>
        <v>0</v>
      </c>
      <c r="E49" s="141">
        <f>SUM(E50:E52)</f>
        <v>3694</v>
      </c>
      <c r="F49" s="141">
        <f>SUM(F50:F52)</f>
        <v>0</v>
      </c>
      <c r="G49" s="141">
        <f>F49/E49*100</f>
        <v>0</v>
      </c>
    </row>
    <row r="50" spans="1:12" s="96" customFormat="1" ht="15" customHeight="1" x14ac:dyDescent="0.2">
      <c r="A50" s="113"/>
      <c r="B50" s="1165" t="s">
        <v>4</v>
      </c>
      <c r="C50" s="1151" t="s">
        <v>1173</v>
      </c>
      <c r="D50" s="147">
        <v>0</v>
      </c>
      <c r="E50" s="147">
        <f>'5.10.1. sz. mell.'!T127</f>
        <v>3694</v>
      </c>
      <c r="F50" s="147"/>
      <c r="G50" s="147">
        <f>F50/E50*100</f>
        <v>0</v>
      </c>
    </row>
    <row r="51" spans="1:12" s="99" customFormat="1" ht="15" customHeight="1" x14ac:dyDescent="0.2">
      <c r="A51" s="97"/>
      <c r="B51" s="1166" t="s">
        <v>6</v>
      </c>
      <c r="C51" s="1144" t="s">
        <v>64</v>
      </c>
      <c r="D51" s="142">
        <v>0</v>
      </c>
      <c r="E51" s="142">
        <f>'5.10.1. sz. mell.'!T126</f>
        <v>0</v>
      </c>
      <c r="F51" s="142">
        <f>'5.10.1. sz. mell.'!U126</f>
        <v>0</v>
      </c>
      <c r="G51" s="142" t="e">
        <f>F51/E51*100</f>
        <v>#DIV/0!</v>
      </c>
    </row>
    <row r="52" spans="1:12" s="99" customFormat="1" ht="29.25" customHeight="1" thickBot="1" x14ac:dyDescent="0.25">
      <c r="A52" s="97"/>
      <c r="B52" s="1166" t="s">
        <v>7</v>
      </c>
      <c r="C52" s="1144" t="s">
        <v>1500</v>
      </c>
      <c r="D52" s="142">
        <v>0</v>
      </c>
      <c r="E52" s="142">
        <v>0</v>
      </c>
      <c r="F52" s="142">
        <v>0</v>
      </c>
      <c r="G52" s="142"/>
    </row>
    <row r="53" spans="1:12" s="99" customFormat="1" ht="15" customHeight="1" thickBot="1" x14ac:dyDescent="0.25">
      <c r="A53" s="150" t="s">
        <v>12</v>
      </c>
      <c r="B53" s="151"/>
      <c r="C53" s="354" t="s">
        <v>1501</v>
      </c>
      <c r="D53" s="152" t="e">
        <f>+D43+D49+#REF!</f>
        <v>#REF!</v>
      </c>
      <c r="E53" s="152" t="e">
        <f>+E43+E49+#REF!</f>
        <v>#REF!</v>
      </c>
      <c r="F53" s="152">
        <f>+F43+F49</f>
        <v>0</v>
      </c>
      <c r="G53" s="152" t="e">
        <f>F53/E53*100</f>
        <v>#REF!</v>
      </c>
    </row>
    <row r="54" spans="1:12" s="99" customFormat="1" ht="15" customHeight="1" thickBot="1" x14ac:dyDescent="0.25">
      <c r="A54" s="131"/>
      <c r="B54" s="132"/>
      <c r="C54" s="132"/>
      <c r="D54" s="132"/>
      <c r="E54" s="132"/>
      <c r="F54" s="132"/>
      <c r="G54" s="132"/>
    </row>
    <row r="55" spans="1:12" s="99" customFormat="1" ht="15" customHeight="1" thickBot="1" x14ac:dyDescent="0.25">
      <c r="A55" s="133" t="s">
        <v>136</v>
      </c>
      <c r="B55" s="134"/>
      <c r="C55" s="135"/>
      <c r="D55" s="136">
        <f>SUM('5.10.1. sz. mell.'!I200)</f>
        <v>73</v>
      </c>
      <c r="E55" s="136">
        <f>SUM('5.10.1. sz. mell.'!J200)</f>
        <v>73</v>
      </c>
      <c r="F55" s="136">
        <f>SUM('5.10.1. sz. mell.'!K200)</f>
        <v>73</v>
      </c>
      <c r="G55" s="136"/>
      <c r="K55" s="110"/>
    </row>
    <row r="56" spans="1:12" s="99" customFormat="1" ht="15" customHeight="1" thickBot="1" x14ac:dyDescent="0.25">
      <c r="A56" s="133" t="s">
        <v>137</v>
      </c>
      <c r="B56" s="134"/>
      <c r="C56" s="135"/>
      <c r="D56" s="356"/>
      <c r="E56" s="356"/>
      <c r="F56" s="356"/>
      <c r="G56" s="356"/>
      <c r="K56" s="110"/>
      <c r="L56" s="110"/>
    </row>
  </sheetData>
  <sheetProtection selectLockedCells="1" selectUnlockedCells="1"/>
  <mergeCells count="7">
    <mergeCell ref="A5:B5"/>
    <mergeCell ref="D1:G1"/>
    <mergeCell ref="A2:B2"/>
    <mergeCell ref="D2:D3"/>
    <mergeCell ref="F2:F3"/>
    <mergeCell ref="A3:B3"/>
    <mergeCell ref="D4:F4"/>
  </mergeCells>
  <printOptions horizontalCentered="1"/>
  <pageMargins left="0.19685039370078741" right="0.23622047244094491" top="0.35433070866141736" bottom="0.39370078740157483" header="0.19685039370078741" footer="0.15748031496062992"/>
  <pageSetup paperSize="9" scale="85" firstPageNumber="88" orientation="portrait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36"/>
  <sheetViews>
    <sheetView view="pageBreakPreview" topLeftCell="A178" zoomScaleSheetLayoutView="100" workbookViewId="0">
      <selection activeCell="D177" sqref="D177"/>
    </sheetView>
  </sheetViews>
  <sheetFormatPr defaultRowHeight="14.25" x14ac:dyDescent="0.2"/>
  <cols>
    <col min="1" max="1" width="2.5" style="168" customWidth="1"/>
    <col min="2" max="2" width="3" style="168" customWidth="1"/>
    <col min="3" max="3" width="8.33203125" style="412" customWidth="1"/>
    <col min="4" max="4" width="51.83203125" style="168" customWidth="1"/>
    <col min="5" max="8" width="9.33203125" style="216" hidden="1" customWidth="1"/>
    <col min="9" max="10" width="14" style="216" hidden="1" customWidth="1"/>
    <col min="11" max="11" width="12.83203125" style="216" customWidth="1"/>
    <col min="12" max="12" width="12.83203125" style="216" hidden="1" customWidth="1"/>
    <col min="13" max="13" width="43.83203125" style="168" customWidth="1"/>
    <col min="14" max="18" width="9.33203125" style="168" hidden="1" customWidth="1"/>
    <col min="19" max="19" width="13" style="168" customWidth="1"/>
    <col min="20" max="20" width="12.33203125" style="168" customWidth="1"/>
    <col min="21" max="21" width="14.33203125" style="168" customWidth="1"/>
    <col min="22" max="24" width="9.33203125" style="168"/>
    <col min="25" max="25" width="9.33203125" style="445"/>
    <col min="26" max="16384" width="9.33203125" style="168"/>
  </cols>
  <sheetData>
    <row r="1" spans="1:25" ht="43.5" customHeight="1" thickBot="1" x14ac:dyDescent="0.25">
      <c r="A1" s="1544" t="s">
        <v>150</v>
      </c>
      <c r="B1" s="1544"/>
      <c r="C1" s="1544"/>
      <c r="D1" s="170" t="s">
        <v>1524</v>
      </c>
      <c r="E1" s="442" t="s">
        <v>625</v>
      </c>
      <c r="F1" s="442" t="s">
        <v>626</v>
      </c>
      <c r="G1" s="442" t="s">
        <v>627</v>
      </c>
      <c r="H1" s="442" t="s">
        <v>628</v>
      </c>
      <c r="I1" s="442" t="s">
        <v>1022</v>
      </c>
      <c r="J1" s="442" t="s">
        <v>1227</v>
      </c>
      <c r="K1" s="442" t="s">
        <v>1419</v>
      </c>
      <c r="L1" s="442" t="s">
        <v>1</v>
      </c>
    </row>
    <row r="2" spans="1:25" ht="18" customHeight="1" thickTop="1" thickBot="1" x14ac:dyDescent="0.3">
      <c r="A2" s="414" t="s">
        <v>629</v>
      </c>
      <c r="B2" s="415"/>
      <c r="C2" s="416"/>
      <c r="D2" s="1562" t="s">
        <v>623</v>
      </c>
      <c r="E2" s="1562"/>
      <c r="F2" s="1562"/>
      <c r="G2" s="1562"/>
      <c r="H2" s="1562"/>
      <c r="I2" s="417"/>
      <c r="J2" s="417"/>
      <c r="K2" s="417"/>
      <c r="L2" s="919"/>
    </row>
    <row r="3" spans="1:25" ht="18" thickTop="1" x14ac:dyDescent="0.3">
      <c r="A3" s="419"/>
      <c r="B3" s="420"/>
      <c r="C3" s="173"/>
      <c r="D3" s="446" t="s">
        <v>1525</v>
      </c>
      <c r="E3" s="446"/>
      <c r="F3" s="446"/>
      <c r="G3" s="446"/>
      <c r="H3" s="446"/>
      <c r="I3" s="447"/>
      <c r="J3" s="447"/>
      <c r="K3" s="447"/>
      <c r="L3" s="447"/>
    </row>
    <row r="4" spans="1:25" ht="16.5" customHeight="1" thickBot="1" x14ac:dyDescent="0.3">
      <c r="A4" s="178"/>
      <c r="B4" s="420" t="s">
        <v>2</v>
      </c>
      <c r="C4" s="244"/>
      <c r="D4" s="1561" t="s">
        <v>81</v>
      </c>
      <c r="E4" s="1561"/>
      <c r="F4" s="1561"/>
      <c r="G4" s="1561"/>
      <c r="H4" s="1561"/>
      <c r="I4" s="192"/>
      <c r="J4" s="192"/>
      <c r="K4" s="192"/>
      <c r="L4" s="192"/>
    </row>
    <row r="5" spans="1:25" ht="17.25" thickBot="1" x14ac:dyDescent="0.3">
      <c r="A5" s="178"/>
      <c r="B5" s="425"/>
      <c r="C5" s="180" t="s">
        <v>50</v>
      </c>
      <c r="D5" s="1142" t="s">
        <v>1760</v>
      </c>
      <c r="E5" s="192">
        <f>SUM(E6:E9)</f>
        <v>8168</v>
      </c>
      <c r="F5" s="192">
        <f>SUM(F6:F9)</f>
        <v>20513</v>
      </c>
      <c r="G5" s="192">
        <f>SUM(G6:G9)</f>
        <v>9179</v>
      </c>
      <c r="H5" s="192">
        <f>SUM(H6:H9)</f>
        <v>6881</v>
      </c>
      <c r="I5" s="192">
        <f>SUM(I6:I8)</f>
        <v>7790</v>
      </c>
      <c r="J5" s="192">
        <f t="shared" ref="J5" si="0">SUM(J6:J8)</f>
        <v>7790</v>
      </c>
      <c r="K5" s="192">
        <f>SUM(K6:K9)</f>
        <v>6646</v>
      </c>
      <c r="L5" s="192">
        <f>K5/J5*100</f>
        <v>85.314505776636722</v>
      </c>
    </row>
    <row r="6" spans="1:25" ht="16.5" x14ac:dyDescent="0.25">
      <c r="A6" s="178"/>
      <c r="B6" s="425"/>
      <c r="C6" s="244" t="s">
        <v>75</v>
      </c>
      <c r="D6" s="1144" t="s">
        <v>1473</v>
      </c>
      <c r="E6" s="192">
        <v>1000</v>
      </c>
      <c r="F6" s="192">
        <v>13632</v>
      </c>
      <c r="G6" s="192">
        <v>239</v>
      </c>
      <c r="H6" s="192">
        <v>0</v>
      </c>
      <c r="I6" s="192"/>
      <c r="J6" s="192"/>
      <c r="K6" s="192"/>
      <c r="L6" s="192" t="e">
        <f t="shared" ref="L6:L79" si="1">K6/J6*100</f>
        <v>#DIV/0!</v>
      </c>
    </row>
    <row r="7" spans="1:25" ht="16.5" x14ac:dyDescent="0.25">
      <c r="A7" s="178"/>
      <c r="B7" s="425"/>
      <c r="C7" s="244" t="s">
        <v>76</v>
      </c>
      <c r="D7" s="1144" t="s">
        <v>1474</v>
      </c>
      <c r="E7" s="192">
        <v>5734</v>
      </c>
      <c r="F7" s="192">
        <v>5734</v>
      </c>
      <c r="G7" s="192">
        <v>6234</v>
      </c>
      <c r="H7" s="192">
        <v>5734</v>
      </c>
      <c r="I7" s="192"/>
      <c r="J7" s="192"/>
      <c r="K7" s="192"/>
      <c r="L7" s="192"/>
    </row>
    <row r="8" spans="1:25" ht="16.5" x14ac:dyDescent="0.25">
      <c r="A8" s="178"/>
      <c r="B8" s="425"/>
      <c r="C8" s="244" t="s">
        <v>166</v>
      </c>
      <c r="D8" s="5" t="s">
        <v>1481</v>
      </c>
      <c r="E8" s="192"/>
      <c r="F8" s="192"/>
      <c r="G8" s="192">
        <v>1232</v>
      </c>
      <c r="H8" s="192">
        <v>0</v>
      </c>
      <c r="I8" s="192">
        <v>7790</v>
      </c>
      <c r="J8" s="192">
        <v>7790</v>
      </c>
      <c r="K8" s="192">
        <v>6646</v>
      </c>
      <c r="L8" s="192">
        <f t="shared" si="1"/>
        <v>85.314505776636722</v>
      </c>
    </row>
    <row r="9" spans="1:25" ht="17.25" thickBot="1" x14ac:dyDescent="0.3">
      <c r="A9" s="178"/>
      <c r="B9" s="425"/>
      <c r="D9" s="1144" t="s">
        <v>1479</v>
      </c>
      <c r="E9" s="192">
        <v>1434</v>
      </c>
      <c r="F9" s="192">
        <v>1147</v>
      </c>
      <c r="G9" s="192">
        <v>1474</v>
      </c>
      <c r="H9" s="192">
        <v>1147</v>
      </c>
      <c r="I9" s="192"/>
      <c r="J9" s="192"/>
      <c r="K9" s="192"/>
      <c r="L9" s="192"/>
    </row>
    <row r="10" spans="1:25" ht="15" customHeight="1" thickBot="1" x14ac:dyDescent="0.3">
      <c r="A10" s="178"/>
      <c r="B10" s="425"/>
      <c r="C10" s="180" t="s">
        <v>52</v>
      </c>
      <c r="D10" s="1142" t="s">
        <v>1526</v>
      </c>
      <c r="E10" s="192">
        <v>0</v>
      </c>
      <c r="F10" s="192">
        <v>0</v>
      </c>
      <c r="G10" s="192"/>
      <c r="H10" s="192"/>
      <c r="I10" s="192"/>
      <c r="J10" s="192"/>
      <c r="K10" s="192"/>
      <c r="L10" s="192"/>
    </row>
    <row r="11" spans="1:25" ht="34.5" customHeight="1" thickBot="1" x14ac:dyDescent="0.3">
      <c r="A11" s="178"/>
      <c r="B11" s="425"/>
      <c r="C11" s="180" t="s">
        <v>54</v>
      </c>
      <c r="D11" s="1142" t="s">
        <v>1527</v>
      </c>
      <c r="E11" s="192">
        <f t="shared" ref="E11:I11" si="2">SUM(E12+E16)</f>
        <v>316171</v>
      </c>
      <c r="F11" s="192">
        <f t="shared" si="2"/>
        <v>228060</v>
      </c>
      <c r="G11" s="192">
        <f t="shared" si="2"/>
        <v>330704</v>
      </c>
      <c r="H11" s="192">
        <f t="shared" si="2"/>
        <v>258000</v>
      </c>
      <c r="I11" s="192">
        <f t="shared" si="2"/>
        <v>314568</v>
      </c>
      <c r="J11" s="192">
        <f>SUM(J12+J16)+J17</f>
        <v>339190</v>
      </c>
      <c r="K11" s="192">
        <f>SUM(K12+K16)+K17</f>
        <v>309660</v>
      </c>
      <c r="L11" s="192">
        <f t="shared" si="1"/>
        <v>91.293965034346542</v>
      </c>
    </row>
    <row r="12" spans="1:25" s="189" customFormat="1" ht="30" x14ac:dyDescent="0.25">
      <c r="A12" s="426"/>
      <c r="B12" s="427"/>
      <c r="C12" s="198" t="s">
        <v>186</v>
      </c>
      <c r="D12" s="1151" t="s">
        <v>1483</v>
      </c>
      <c r="E12" s="196">
        <f t="shared" ref="E12:I12" si="3">SUM(E13:E15)</f>
        <v>212736</v>
      </c>
      <c r="F12" s="196">
        <f t="shared" si="3"/>
        <v>228060</v>
      </c>
      <c r="G12" s="196">
        <f t="shared" si="3"/>
        <v>306934</v>
      </c>
      <c r="H12" s="196">
        <f t="shared" si="3"/>
        <v>258000</v>
      </c>
      <c r="I12" s="196">
        <f t="shared" si="3"/>
        <v>314568</v>
      </c>
      <c r="J12" s="196">
        <f>SUM(J13:J15)</f>
        <v>335156</v>
      </c>
      <c r="K12" s="196">
        <f>SUM(K13:K15)</f>
        <v>309660</v>
      </c>
      <c r="L12" s="196">
        <f t="shared" si="1"/>
        <v>92.39279619043073</v>
      </c>
      <c r="Y12" s="438"/>
    </row>
    <row r="13" spans="1:25" ht="30.75" thickBot="1" x14ac:dyDescent="0.3">
      <c r="A13" s="178"/>
      <c r="B13" s="425"/>
      <c r="C13" s="244" t="s">
        <v>580</v>
      </c>
      <c r="D13" s="1152" t="s">
        <v>34</v>
      </c>
      <c r="E13" s="192">
        <v>212736</v>
      </c>
      <c r="F13" s="192">
        <v>228060</v>
      </c>
      <c r="G13" s="192">
        <v>298911</v>
      </c>
      <c r="H13" s="192">
        <v>258000</v>
      </c>
      <c r="I13" s="192">
        <v>314568</v>
      </c>
      <c r="J13" s="192">
        <v>314568</v>
      </c>
      <c r="K13" s="192">
        <v>309660</v>
      </c>
      <c r="L13" s="192">
        <f t="shared" si="1"/>
        <v>98.439765011062804</v>
      </c>
      <c r="S13" s="216">
        <f>SUM(J13:J15)</f>
        <v>335156</v>
      </c>
    </row>
    <row r="14" spans="1:25" ht="17.25" thickBot="1" x14ac:dyDescent="0.3">
      <c r="A14" s="1226"/>
      <c r="B14" s="1227"/>
      <c r="C14" s="180" t="s">
        <v>56</v>
      </c>
      <c r="D14" s="1142" t="s">
        <v>1528</v>
      </c>
      <c r="E14" s="1228"/>
      <c r="F14" s="1228"/>
      <c r="G14" s="1228"/>
      <c r="H14" s="1228"/>
      <c r="I14" s="1228"/>
      <c r="J14" s="1228"/>
      <c r="K14" s="1228"/>
      <c r="L14" s="1228"/>
      <c r="S14" s="216"/>
    </row>
    <row r="15" spans="1:25" ht="30.75" thickBot="1" x14ac:dyDescent="0.3">
      <c r="A15" s="178"/>
      <c r="B15" s="425"/>
      <c r="C15" s="244" t="s">
        <v>1533</v>
      </c>
      <c r="D15" s="1144" t="s">
        <v>1529</v>
      </c>
      <c r="E15" s="192"/>
      <c r="F15" s="192"/>
      <c r="G15" s="192">
        <v>8023</v>
      </c>
      <c r="H15" s="192">
        <v>0</v>
      </c>
      <c r="I15" s="192"/>
      <c r="J15" s="192">
        <v>20588</v>
      </c>
      <c r="K15" s="192"/>
      <c r="L15" s="192">
        <f t="shared" si="1"/>
        <v>0</v>
      </c>
    </row>
    <row r="16" spans="1:25" ht="16.5" hidden="1" x14ac:dyDescent="0.25">
      <c r="A16" s="178"/>
      <c r="B16" s="425"/>
      <c r="C16" s="244" t="s">
        <v>187</v>
      </c>
      <c r="D16" s="191" t="s">
        <v>632</v>
      </c>
      <c r="E16" s="192">
        <v>103435</v>
      </c>
      <c r="F16" s="192"/>
      <c r="G16" s="192">
        <v>23770</v>
      </c>
      <c r="H16" s="192">
        <v>0</v>
      </c>
      <c r="I16" s="192"/>
      <c r="J16" s="192">
        <v>629</v>
      </c>
      <c r="K16" s="192"/>
      <c r="L16" s="192">
        <f t="shared" si="1"/>
        <v>0</v>
      </c>
    </row>
    <row r="17" spans="1:15" ht="16.5" hidden="1" x14ac:dyDescent="0.25">
      <c r="A17" s="954"/>
      <c r="B17" s="955"/>
      <c r="C17" s="244" t="s">
        <v>1369</v>
      </c>
      <c r="D17" s="191" t="s">
        <v>1370</v>
      </c>
      <c r="E17" s="956"/>
      <c r="F17" s="956"/>
      <c r="G17" s="956"/>
      <c r="H17" s="956"/>
      <c r="I17" s="956"/>
      <c r="J17" s="192">
        <v>3405</v>
      </c>
      <c r="K17" s="192"/>
      <c r="L17" s="956">
        <f t="shared" si="1"/>
        <v>0</v>
      </c>
    </row>
    <row r="18" spans="1:15" ht="16.5" hidden="1" x14ac:dyDescent="0.25">
      <c r="A18" s="178"/>
      <c r="B18" s="425"/>
      <c r="C18" s="173" t="s">
        <v>56</v>
      </c>
      <c r="D18" s="191" t="s">
        <v>633</v>
      </c>
      <c r="E18" s="192"/>
      <c r="F18" s="192"/>
      <c r="G18" s="192"/>
      <c r="H18" s="192"/>
      <c r="I18" s="192"/>
      <c r="J18" s="192"/>
      <c r="K18" s="192"/>
      <c r="L18" s="192"/>
    </row>
    <row r="19" spans="1:15" s="183" customFormat="1" ht="17.25" thickBot="1" x14ac:dyDescent="0.3">
      <c r="A19" s="178"/>
      <c r="B19" s="179"/>
      <c r="C19" s="180" t="s">
        <v>227</v>
      </c>
      <c r="D19" s="1142" t="s">
        <v>1496</v>
      </c>
      <c r="E19" s="182"/>
      <c r="F19" s="182"/>
      <c r="G19" s="182"/>
      <c r="H19" s="182"/>
      <c r="I19" s="192"/>
      <c r="J19" s="192">
        <v>24012</v>
      </c>
      <c r="K19" s="192"/>
      <c r="L19" s="192">
        <f t="shared" si="1"/>
        <v>0</v>
      </c>
    </row>
    <row r="20" spans="1:15" ht="17.25" thickBot="1" x14ac:dyDescent="0.3">
      <c r="A20" s="178"/>
      <c r="B20" s="425"/>
      <c r="C20" s="180" t="s">
        <v>228</v>
      </c>
      <c r="D20" s="1142" t="s">
        <v>1530</v>
      </c>
      <c r="E20" s="192">
        <v>1434</v>
      </c>
      <c r="F20" s="192">
        <v>1147</v>
      </c>
      <c r="G20" s="192">
        <v>1474</v>
      </c>
      <c r="H20" s="192">
        <v>1147</v>
      </c>
      <c r="I20" s="192"/>
      <c r="J20" s="192"/>
      <c r="K20" s="192"/>
      <c r="L20" s="192"/>
    </row>
    <row r="21" spans="1:15" ht="16.5" x14ac:dyDescent="0.25">
      <c r="A21" s="178"/>
      <c r="B21" s="425"/>
      <c r="C21" s="180" t="s">
        <v>657</v>
      </c>
      <c r="D21" s="430" t="s">
        <v>599</v>
      </c>
      <c r="E21" s="431">
        <f>SUM(E5+E11+E10)</f>
        <v>324339</v>
      </c>
      <c r="F21" s="431">
        <f>SUM(F5+F11+F10)</f>
        <v>248573</v>
      </c>
      <c r="G21" s="431">
        <f>SUM(G5+G11+G10)</f>
        <v>339883</v>
      </c>
      <c r="H21" s="431">
        <f>SUM(H5+H11+H10)</f>
        <v>264881</v>
      </c>
      <c r="I21" s="431">
        <f t="shared" ref="I21:J21" si="4">SUM(I5+I11+I10+I19+I18+I9)+I20</f>
        <v>322358</v>
      </c>
      <c r="J21" s="431">
        <f t="shared" si="4"/>
        <v>370992</v>
      </c>
      <c r="K21" s="431">
        <f>SUM(K5+K11+K10+K19+K18+K9)+K20</f>
        <v>316306</v>
      </c>
      <c r="L21" s="431">
        <f t="shared" si="1"/>
        <v>85.259520420925512</v>
      </c>
    </row>
    <row r="22" spans="1:15" ht="16.5" customHeight="1" thickBot="1" x14ac:dyDescent="0.3">
      <c r="A22" s="178"/>
      <c r="B22" s="420" t="s">
        <v>3</v>
      </c>
      <c r="C22" s="245"/>
      <c r="D22" s="1561" t="s">
        <v>82</v>
      </c>
      <c r="E22" s="1561"/>
      <c r="F22" s="1561"/>
      <c r="G22" s="1561"/>
      <c r="H22" s="1561"/>
      <c r="I22" s="192"/>
      <c r="J22" s="192"/>
      <c r="K22" s="192"/>
      <c r="L22" s="192"/>
    </row>
    <row r="23" spans="1:15" ht="16.5" customHeight="1" thickBot="1" x14ac:dyDescent="0.3">
      <c r="A23" s="1226"/>
      <c r="B23" s="1229"/>
      <c r="C23" s="180" t="s">
        <v>4</v>
      </c>
      <c r="D23" s="1142" t="s">
        <v>1760</v>
      </c>
      <c r="E23" s="1230"/>
      <c r="F23" s="1230"/>
      <c r="G23" s="1230"/>
      <c r="H23" s="1230"/>
      <c r="I23" s="1228"/>
      <c r="J23" s="1228"/>
      <c r="K23" s="1314">
        <f>SUM(K24:K26)</f>
        <v>314306</v>
      </c>
      <c r="L23" s="1228"/>
    </row>
    <row r="24" spans="1:15" ht="16.5" x14ac:dyDescent="0.25">
      <c r="A24" s="178"/>
      <c r="B24" s="425"/>
      <c r="C24" s="245" t="s">
        <v>462</v>
      </c>
      <c r="D24" s="191" t="s">
        <v>272</v>
      </c>
      <c r="E24" s="192">
        <v>79920</v>
      </c>
      <c r="F24" s="192">
        <v>96893</v>
      </c>
      <c r="G24" s="192">
        <v>106622</v>
      </c>
      <c r="H24" s="192">
        <v>102125</v>
      </c>
      <c r="I24" s="192">
        <v>101451</v>
      </c>
      <c r="J24" s="192">
        <v>125346</v>
      </c>
      <c r="K24" s="192">
        <v>154974</v>
      </c>
      <c r="L24" s="192">
        <f t="shared" si="1"/>
        <v>123.63697285912593</v>
      </c>
    </row>
    <row r="25" spans="1:15" ht="16.5" x14ac:dyDescent="0.25">
      <c r="A25" s="178"/>
      <c r="B25" s="425"/>
      <c r="C25" s="245" t="s">
        <v>463</v>
      </c>
      <c r="D25" s="191" t="s">
        <v>273</v>
      </c>
      <c r="E25" s="192">
        <v>25137</v>
      </c>
      <c r="F25" s="192">
        <v>29779</v>
      </c>
      <c r="G25" s="192">
        <v>30303</v>
      </c>
      <c r="H25" s="192">
        <v>31407</v>
      </c>
      <c r="I25" s="192">
        <v>31516</v>
      </c>
      <c r="J25" s="192">
        <v>31516</v>
      </c>
      <c r="K25" s="192">
        <v>39867</v>
      </c>
      <c r="L25" s="192">
        <f t="shared" si="1"/>
        <v>126.49765198629268</v>
      </c>
    </row>
    <row r="26" spans="1:15" ht="17.25" thickBot="1" x14ac:dyDescent="0.3">
      <c r="A26" s="178"/>
      <c r="B26" s="425"/>
      <c r="C26" s="245" t="s">
        <v>464</v>
      </c>
      <c r="D26" s="191" t="s">
        <v>86</v>
      </c>
      <c r="E26" s="192">
        <v>115847</v>
      </c>
      <c r="F26" s="192">
        <v>121901</v>
      </c>
      <c r="G26" s="192">
        <v>179188</v>
      </c>
      <c r="H26" s="192">
        <v>131349</v>
      </c>
      <c r="I26" s="192">
        <v>189391</v>
      </c>
      <c r="J26" s="192">
        <v>213501</v>
      </c>
      <c r="K26" s="192">
        <v>119465</v>
      </c>
      <c r="L26" s="192">
        <f t="shared" si="1"/>
        <v>55.955241427440619</v>
      </c>
      <c r="O26" s="216" t="e">
        <f>SUM(#REF!-#REF!)</f>
        <v>#REF!</v>
      </c>
    </row>
    <row r="27" spans="1:15" ht="17.25" thickBot="1" x14ac:dyDescent="0.3">
      <c r="A27" s="1226"/>
      <c r="B27" s="1227"/>
      <c r="C27" s="180" t="s">
        <v>6</v>
      </c>
      <c r="D27" s="1156" t="s">
        <v>1532</v>
      </c>
      <c r="E27" s="1228"/>
      <c r="F27" s="1228"/>
      <c r="G27" s="1228"/>
      <c r="H27" s="1228"/>
      <c r="I27" s="1228"/>
      <c r="J27" s="1228"/>
      <c r="K27" s="1314">
        <f>SUM(K28:K30)</f>
        <v>2000</v>
      </c>
      <c r="L27" s="1228"/>
      <c r="O27" s="216"/>
    </row>
    <row r="28" spans="1:15" ht="16.5" x14ac:dyDescent="0.25">
      <c r="A28" s="178"/>
      <c r="B28" s="425"/>
      <c r="C28" s="245" t="s">
        <v>537</v>
      </c>
      <c r="D28" s="191" t="s">
        <v>607</v>
      </c>
      <c r="E28" s="192"/>
      <c r="F28" s="192"/>
      <c r="G28" s="192">
        <v>4664</v>
      </c>
      <c r="H28" s="192">
        <v>0</v>
      </c>
      <c r="I28" s="192"/>
      <c r="J28" s="192"/>
      <c r="K28" s="192"/>
      <c r="L28" s="192"/>
    </row>
    <row r="29" spans="1:15" ht="16.5" x14ac:dyDescent="0.25">
      <c r="A29" s="178"/>
      <c r="B29" s="425"/>
      <c r="C29" s="245" t="s">
        <v>786</v>
      </c>
      <c r="D29" s="191" t="s">
        <v>608</v>
      </c>
      <c r="E29" s="192">
        <v>103435</v>
      </c>
      <c r="F29" s="192"/>
      <c r="G29" s="192">
        <v>19106</v>
      </c>
      <c r="H29" s="192">
        <v>0</v>
      </c>
      <c r="I29" s="192"/>
      <c r="J29" s="192">
        <v>629</v>
      </c>
      <c r="K29" s="192">
        <v>2000</v>
      </c>
      <c r="L29" s="192">
        <f t="shared" si="1"/>
        <v>317.96502384737681</v>
      </c>
    </row>
    <row r="30" spans="1:15" ht="16.5" x14ac:dyDescent="0.25">
      <c r="A30" s="178"/>
      <c r="B30" s="425"/>
      <c r="C30" s="245" t="s">
        <v>787</v>
      </c>
      <c r="D30" s="191" t="s">
        <v>1500</v>
      </c>
      <c r="E30" s="192"/>
      <c r="F30" s="192"/>
      <c r="G30" s="192"/>
      <c r="H30" s="192"/>
      <c r="I30" s="192"/>
      <c r="J30" s="192"/>
      <c r="K30" s="192"/>
      <c r="L30" s="192"/>
    </row>
    <row r="31" spans="1:15" ht="16.5" x14ac:dyDescent="0.25">
      <c r="A31" s="178"/>
      <c r="B31" s="425"/>
      <c r="C31" s="245"/>
      <c r="D31" s="432" t="s">
        <v>610</v>
      </c>
      <c r="E31" s="431">
        <f t="shared" ref="E31:I31" si="5">SUM(E24:E30)</f>
        <v>324339</v>
      </c>
      <c r="F31" s="431">
        <f t="shared" si="5"/>
        <v>248573</v>
      </c>
      <c r="G31" s="431">
        <f t="shared" si="5"/>
        <v>339883</v>
      </c>
      <c r="H31" s="431">
        <f t="shared" si="5"/>
        <v>264881</v>
      </c>
      <c r="I31" s="431">
        <f t="shared" si="5"/>
        <v>322358</v>
      </c>
      <c r="J31" s="431">
        <f t="shared" ref="J31" si="6">SUM(J24:J30)</f>
        <v>370992</v>
      </c>
      <c r="K31" s="431">
        <f>SUM(K23+K27)</f>
        <v>316306</v>
      </c>
      <c r="L31" s="431">
        <f t="shared" si="1"/>
        <v>85.259520420925512</v>
      </c>
    </row>
    <row r="32" spans="1:15" ht="16.5" x14ac:dyDescent="0.25">
      <c r="A32" s="178"/>
      <c r="B32" s="420" t="s">
        <v>12</v>
      </c>
      <c r="C32" s="174"/>
      <c r="D32" s="433" t="s">
        <v>611</v>
      </c>
      <c r="E32" s="448">
        <v>53.5</v>
      </c>
      <c r="F32" s="305">
        <v>58</v>
      </c>
      <c r="G32" s="305">
        <v>58</v>
      </c>
      <c r="H32" s="305">
        <v>58</v>
      </c>
      <c r="I32" s="305">
        <v>62</v>
      </c>
      <c r="J32" s="305">
        <v>62</v>
      </c>
      <c r="K32" s="305">
        <v>62</v>
      </c>
      <c r="L32" s="305"/>
    </row>
    <row r="33" spans="1:25" ht="17.25" x14ac:dyDescent="0.3">
      <c r="A33" s="419"/>
      <c r="B33" s="420"/>
      <c r="C33" s="173"/>
      <c r="D33" s="449" t="s">
        <v>1534</v>
      </c>
      <c r="E33" s="450"/>
      <c r="F33" s="450"/>
      <c r="G33" s="450"/>
      <c r="H33" s="450"/>
      <c r="I33" s="451"/>
      <c r="J33" s="451"/>
      <c r="K33" s="451"/>
      <c r="L33" s="451"/>
    </row>
    <row r="34" spans="1:25" ht="16.5" customHeight="1" thickBot="1" x14ac:dyDescent="0.3">
      <c r="A34" s="178"/>
      <c r="B34" s="420" t="s">
        <v>2</v>
      </c>
      <c r="C34" s="244"/>
      <c r="D34" s="1561" t="s">
        <v>81</v>
      </c>
      <c r="E34" s="1561"/>
      <c r="F34" s="1561"/>
      <c r="G34" s="1561"/>
      <c r="H34" s="1561"/>
      <c r="I34" s="192"/>
      <c r="J34" s="192"/>
      <c r="K34" s="192"/>
      <c r="L34" s="192"/>
    </row>
    <row r="35" spans="1:25" ht="17.25" thickBot="1" x14ac:dyDescent="0.3">
      <c r="A35" s="178"/>
      <c r="B35" s="425"/>
      <c r="C35" s="180" t="s">
        <v>50</v>
      </c>
      <c r="D35" s="1142" t="s">
        <v>1760</v>
      </c>
      <c r="E35" s="192"/>
      <c r="F35" s="192"/>
      <c r="G35" s="192">
        <v>0</v>
      </c>
      <c r="H35" s="192">
        <v>0</v>
      </c>
      <c r="I35" s="192"/>
      <c r="J35" s="192"/>
      <c r="K35" s="192"/>
      <c r="L35" s="192"/>
    </row>
    <row r="36" spans="1:25" ht="15" customHeight="1" thickBot="1" x14ac:dyDescent="0.3">
      <c r="A36" s="178"/>
      <c r="B36" s="425"/>
      <c r="C36" s="173" t="s">
        <v>52</v>
      </c>
      <c r="D36" s="1142" t="s">
        <v>1526</v>
      </c>
      <c r="E36" s="192">
        <v>0</v>
      </c>
      <c r="F36" s="192">
        <v>0</v>
      </c>
      <c r="G36" s="192">
        <v>0</v>
      </c>
      <c r="H36" s="192"/>
      <c r="I36" s="192"/>
      <c r="J36" s="192"/>
      <c r="K36" s="192"/>
      <c r="L36" s="192"/>
    </row>
    <row r="37" spans="1:25" ht="29.25" thickBot="1" x14ac:dyDescent="0.3">
      <c r="A37" s="178"/>
      <c r="B37" s="425"/>
      <c r="C37" s="173" t="s">
        <v>54</v>
      </c>
      <c r="D37" s="1142" t="s">
        <v>1527</v>
      </c>
      <c r="E37" s="192">
        <f t="shared" ref="E37:I37" si="7">SUM(E38+E43)</f>
        <v>26828</v>
      </c>
      <c r="F37" s="192">
        <f t="shared" si="7"/>
        <v>27295</v>
      </c>
      <c r="G37" s="192">
        <f t="shared" si="7"/>
        <v>27490</v>
      </c>
      <c r="H37" s="192">
        <f t="shared" si="7"/>
        <v>39865</v>
      </c>
      <c r="I37" s="192">
        <f t="shared" si="7"/>
        <v>45192</v>
      </c>
      <c r="J37" s="192">
        <f t="shared" ref="J37:K37" si="8">SUM(J38+J43)</f>
        <v>45192</v>
      </c>
      <c r="K37" s="237">
        <f t="shared" si="8"/>
        <v>18700</v>
      </c>
      <c r="L37" s="192">
        <f t="shared" si="1"/>
        <v>41.379005133651972</v>
      </c>
    </row>
    <row r="38" spans="1:25" s="189" customFormat="1" ht="30" x14ac:dyDescent="0.25">
      <c r="A38" s="426"/>
      <c r="B38" s="427"/>
      <c r="C38" s="198" t="s">
        <v>186</v>
      </c>
      <c r="D38" s="1151" t="s">
        <v>1483</v>
      </c>
      <c r="E38" s="196">
        <f t="shared" ref="E38:I38" si="9">SUM(E39:E41)</f>
        <v>26828</v>
      </c>
      <c r="F38" s="196">
        <f t="shared" si="9"/>
        <v>27295</v>
      </c>
      <c r="G38" s="196">
        <f t="shared" si="9"/>
        <v>27490</v>
      </c>
      <c r="H38" s="196">
        <f t="shared" si="9"/>
        <v>39865</v>
      </c>
      <c r="I38" s="196">
        <f t="shared" si="9"/>
        <v>45192</v>
      </c>
      <c r="J38" s="196">
        <f t="shared" ref="J38" si="10">SUM(J39:J41)</f>
        <v>45085</v>
      </c>
      <c r="K38" s="196">
        <f>SUM(K39)</f>
        <v>18700</v>
      </c>
      <c r="L38" s="196">
        <f t="shared" si="1"/>
        <v>41.477209714982813</v>
      </c>
      <c r="Y38" s="438"/>
    </row>
    <row r="39" spans="1:25" ht="27" customHeight="1" thickBot="1" x14ac:dyDescent="0.3">
      <c r="A39" s="178"/>
      <c r="B39" s="425"/>
      <c r="C39" s="244" t="s">
        <v>580</v>
      </c>
      <c r="D39" s="1152" t="s">
        <v>34</v>
      </c>
      <c r="E39" s="192">
        <v>20148</v>
      </c>
      <c r="F39" s="192">
        <v>20615</v>
      </c>
      <c r="G39" s="192">
        <v>20615</v>
      </c>
      <c r="H39" s="192">
        <v>30410</v>
      </c>
      <c r="I39" s="192">
        <v>27760</v>
      </c>
      <c r="J39" s="192">
        <v>27760</v>
      </c>
      <c r="K39" s="192">
        <v>18700</v>
      </c>
      <c r="L39" s="192">
        <f t="shared" si="1"/>
        <v>67.363112391930841</v>
      </c>
    </row>
    <row r="40" spans="1:25" ht="17.25" thickBot="1" x14ac:dyDescent="0.3">
      <c r="A40" s="1236"/>
      <c r="B40" s="1237"/>
      <c r="C40" s="180" t="s">
        <v>56</v>
      </c>
      <c r="D40" s="1142" t="s">
        <v>1528</v>
      </c>
      <c r="E40" s="1238"/>
      <c r="F40" s="1238"/>
      <c r="G40" s="1238"/>
      <c r="H40" s="1238"/>
      <c r="I40" s="1238"/>
      <c r="J40" s="1238"/>
      <c r="K40" s="1239">
        <f>SUM(K41)</f>
        <v>19300</v>
      </c>
      <c r="L40" s="1238"/>
    </row>
    <row r="41" spans="1:25" ht="30.75" thickBot="1" x14ac:dyDescent="0.3">
      <c r="A41" s="178"/>
      <c r="B41" s="425"/>
      <c r="C41" s="244" t="s">
        <v>1533</v>
      </c>
      <c r="D41" s="1144" t="s">
        <v>1529</v>
      </c>
      <c r="E41" s="192">
        <v>6680</v>
      </c>
      <c r="F41" s="192">
        <v>6680</v>
      </c>
      <c r="G41" s="192">
        <v>6875</v>
      </c>
      <c r="H41" s="192">
        <v>9455</v>
      </c>
      <c r="I41" s="192">
        <v>17432</v>
      </c>
      <c r="J41" s="192">
        <v>17325</v>
      </c>
      <c r="K41" s="192">
        <v>19300</v>
      </c>
      <c r="L41" s="192">
        <f t="shared" si="1"/>
        <v>111.39971139971141</v>
      </c>
    </row>
    <row r="42" spans="1:25" ht="17.25" thickBot="1" x14ac:dyDescent="0.3">
      <c r="A42" s="1236"/>
      <c r="B42" s="1237"/>
      <c r="C42" s="180" t="s">
        <v>227</v>
      </c>
      <c r="D42" s="1142" t="s">
        <v>1496</v>
      </c>
      <c r="E42" s="1238"/>
      <c r="F42" s="1238"/>
      <c r="G42" s="1238"/>
      <c r="H42" s="1238"/>
      <c r="I42" s="1238"/>
      <c r="J42" s="1238"/>
      <c r="K42" s="1238"/>
      <c r="L42" s="1238"/>
    </row>
    <row r="43" spans="1:25" ht="17.25" thickBot="1" x14ac:dyDescent="0.3">
      <c r="A43" s="178"/>
      <c r="B43" s="425"/>
      <c r="C43" s="180" t="s">
        <v>228</v>
      </c>
      <c r="D43" s="1142" t="s">
        <v>1530</v>
      </c>
      <c r="E43" s="192"/>
      <c r="F43" s="192"/>
      <c r="G43" s="192"/>
      <c r="H43" s="192"/>
      <c r="I43" s="192"/>
      <c r="J43" s="192">
        <v>107</v>
      </c>
      <c r="K43" s="192"/>
      <c r="L43" s="192">
        <f t="shared" si="1"/>
        <v>0</v>
      </c>
    </row>
    <row r="44" spans="1:25" ht="16.5" x14ac:dyDescent="0.25">
      <c r="A44" s="178"/>
      <c r="B44" s="425"/>
      <c r="C44" s="180" t="s">
        <v>657</v>
      </c>
      <c r="D44" s="430" t="s">
        <v>599</v>
      </c>
      <c r="E44" s="431">
        <f t="shared" ref="E44:J44" si="11">SUM(E35+E37+E36)</f>
        <v>26828</v>
      </c>
      <c r="F44" s="431">
        <f t="shared" si="11"/>
        <v>27295</v>
      </c>
      <c r="G44" s="431">
        <f t="shared" si="11"/>
        <v>27490</v>
      </c>
      <c r="H44" s="431">
        <f t="shared" si="11"/>
        <v>39865</v>
      </c>
      <c r="I44" s="431">
        <f t="shared" si="11"/>
        <v>45192</v>
      </c>
      <c r="J44" s="431">
        <f t="shared" si="11"/>
        <v>45192</v>
      </c>
      <c r="K44" s="431">
        <f>SUM(K35+K37+K36)+K40</f>
        <v>38000</v>
      </c>
      <c r="L44" s="431">
        <f t="shared" si="1"/>
        <v>84.085678881217916</v>
      </c>
    </row>
    <row r="45" spans="1:25" ht="16.5" customHeight="1" thickBot="1" x14ac:dyDescent="0.3">
      <c r="A45" s="178"/>
      <c r="B45" s="420" t="s">
        <v>3</v>
      </c>
      <c r="C45" s="245"/>
      <c r="D45" s="1561" t="s">
        <v>82</v>
      </c>
      <c r="E45" s="1561"/>
      <c r="F45" s="1561"/>
      <c r="G45" s="1561"/>
      <c r="H45" s="1561"/>
      <c r="I45" s="192"/>
      <c r="J45" s="192"/>
      <c r="K45" s="192"/>
      <c r="L45" s="192"/>
    </row>
    <row r="46" spans="1:25" ht="16.5" customHeight="1" thickBot="1" x14ac:dyDescent="0.3">
      <c r="A46" s="1236"/>
      <c r="B46" s="1240"/>
      <c r="C46" s="180" t="s">
        <v>4</v>
      </c>
      <c r="D46" s="1142" t="s">
        <v>1760</v>
      </c>
      <c r="E46" s="1241"/>
      <c r="F46" s="1241"/>
      <c r="G46" s="1241"/>
      <c r="H46" s="1241"/>
      <c r="I46" s="1238"/>
      <c r="J46" s="1238"/>
      <c r="K46" s="1239">
        <f>SUM(K47:K49)</f>
        <v>37500</v>
      </c>
      <c r="L46" s="1238"/>
    </row>
    <row r="47" spans="1:25" ht="16.5" x14ac:dyDescent="0.25">
      <c r="A47" s="178"/>
      <c r="B47" s="425"/>
      <c r="C47" s="245" t="s">
        <v>462</v>
      </c>
      <c r="D47" s="191" t="s">
        <v>272</v>
      </c>
      <c r="E47" s="192">
        <v>1920</v>
      </c>
      <c r="F47" s="192">
        <v>2160</v>
      </c>
      <c r="G47" s="192">
        <v>2201</v>
      </c>
      <c r="H47" s="192">
        <v>10611</v>
      </c>
      <c r="I47" s="192">
        <v>8039</v>
      </c>
      <c r="J47" s="192">
        <v>8039</v>
      </c>
      <c r="K47" s="192">
        <v>5357</v>
      </c>
      <c r="L47" s="192">
        <f t="shared" si="1"/>
        <v>66.637641497698723</v>
      </c>
    </row>
    <row r="48" spans="1:25" ht="16.5" x14ac:dyDescent="0.25">
      <c r="A48" s="178"/>
      <c r="B48" s="425"/>
      <c r="C48" s="245" t="s">
        <v>463</v>
      </c>
      <c r="D48" s="191" t="s">
        <v>273</v>
      </c>
      <c r="E48" s="192">
        <v>615</v>
      </c>
      <c r="F48" s="192">
        <v>691</v>
      </c>
      <c r="G48" s="192">
        <v>704</v>
      </c>
      <c r="H48" s="192">
        <v>3291</v>
      </c>
      <c r="I48" s="192">
        <v>2083</v>
      </c>
      <c r="J48" s="192">
        <v>2083</v>
      </c>
      <c r="K48" s="192">
        <v>1469</v>
      </c>
      <c r="L48" s="192">
        <f t="shared" si="1"/>
        <v>70.52328372539607</v>
      </c>
    </row>
    <row r="49" spans="1:25" ht="17.25" thickBot="1" x14ac:dyDescent="0.3">
      <c r="A49" s="178"/>
      <c r="B49" s="425"/>
      <c r="C49" s="245" t="s">
        <v>464</v>
      </c>
      <c r="D49" s="191" t="s">
        <v>86</v>
      </c>
      <c r="E49" s="192">
        <v>24293</v>
      </c>
      <c r="F49" s="192">
        <v>24444</v>
      </c>
      <c r="G49" s="192">
        <v>24585</v>
      </c>
      <c r="H49" s="192">
        <v>25963</v>
      </c>
      <c r="I49" s="192">
        <v>35070</v>
      </c>
      <c r="J49" s="192">
        <v>34963</v>
      </c>
      <c r="K49" s="192">
        <v>30674</v>
      </c>
      <c r="L49" s="192">
        <f t="shared" si="1"/>
        <v>87.732746045819866</v>
      </c>
    </row>
    <row r="50" spans="1:25" ht="17.25" thickBot="1" x14ac:dyDescent="0.3">
      <c r="A50" s="1236"/>
      <c r="B50" s="1237"/>
      <c r="C50" s="180" t="s">
        <v>6</v>
      </c>
      <c r="D50" s="1156" t="s">
        <v>1532</v>
      </c>
      <c r="E50" s="1238"/>
      <c r="F50" s="1238"/>
      <c r="G50" s="1238"/>
      <c r="H50" s="1238"/>
      <c r="I50" s="1238"/>
      <c r="J50" s="1238"/>
      <c r="K50" s="1239">
        <f>SUM(K51:K53)</f>
        <v>500</v>
      </c>
      <c r="L50" s="1238"/>
    </row>
    <row r="51" spans="1:25" ht="16.5" x14ac:dyDescent="0.25">
      <c r="A51" s="178"/>
      <c r="B51" s="425"/>
      <c r="C51" s="245" t="s">
        <v>537</v>
      </c>
      <c r="D51" s="191" t="s">
        <v>607</v>
      </c>
      <c r="E51" s="192"/>
      <c r="F51" s="192"/>
      <c r="G51" s="192"/>
      <c r="H51" s="192"/>
      <c r="I51" s="192"/>
      <c r="J51" s="192"/>
      <c r="K51" s="192"/>
      <c r="L51" s="192"/>
    </row>
    <row r="52" spans="1:25" ht="16.5" x14ac:dyDescent="0.25">
      <c r="A52" s="178"/>
      <c r="B52" s="425"/>
      <c r="C52" s="245" t="s">
        <v>786</v>
      </c>
      <c r="D52" s="191" t="s">
        <v>608</v>
      </c>
      <c r="E52" s="192"/>
      <c r="F52" s="192"/>
      <c r="G52" s="192"/>
      <c r="H52" s="192"/>
      <c r="I52" s="192"/>
      <c r="J52" s="192">
        <v>107</v>
      </c>
      <c r="K52" s="192">
        <v>500</v>
      </c>
      <c r="L52" s="192">
        <f t="shared" si="1"/>
        <v>467.28971962616822</v>
      </c>
    </row>
    <row r="53" spans="1:25" ht="16.5" x14ac:dyDescent="0.25">
      <c r="A53" s="178"/>
      <c r="B53" s="425"/>
      <c r="C53" s="245" t="s">
        <v>787</v>
      </c>
      <c r="D53" s="191" t="s">
        <v>1500</v>
      </c>
      <c r="E53" s="192"/>
      <c r="F53" s="192"/>
      <c r="G53" s="192"/>
      <c r="H53" s="192"/>
      <c r="I53" s="192"/>
      <c r="J53" s="192"/>
      <c r="K53" s="192"/>
      <c r="L53" s="192"/>
    </row>
    <row r="54" spans="1:25" ht="16.5" x14ac:dyDescent="0.25">
      <c r="A54" s="178"/>
      <c r="B54" s="425"/>
      <c r="C54" s="245"/>
      <c r="D54" s="432" t="s">
        <v>610</v>
      </c>
      <c r="E54" s="431">
        <f t="shared" ref="E54:I54" si="12">SUM(E47:E53)</f>
        <v>26828</v>
      </c>
      <c r="F54" s="431">
        <f t="shared" si="12"/>
        <v>27295</v>
      </c>
      <c r="G54" s="431">
        <f t="shared" si="12"/>
        <v>27490</v>
      </c>
      <c r="H54" s="431">
        <f t="shared" si="12"/>
        <v>39865</v>
      </c>
      <c r="I54" s="431">
        <f t="shared" si="12"/>
        <v>45192</v>
      </c>
      <c r="J54" s="431">
        <f t="shared" ref="J54" si="13">SUM(J47:J53)</f>
        <v>45192</v>
      </c>
      <c r="K54" s="431">
        <f>SUM(K46+K50)</f>
        <v>38000</v>
      </c>
      <c r="L54" s="431">
        <f t="shared" si="1"/>
        <v>84.085678881217916</v>
      </c>
    </row>
    <row r="55" spans="1:25" ht="16.5" x14ac:dyDescent="0.25">
      <c r="A55" s="178"/>
      <c r="B55" s="420" t="s">
        <v>12</v>
      </c>
      <c r="C55" s="174"/>
      <c r="D55" s="433" t="s">
        <v>611</v>
      </c>
      <c r="E55" s="305">
        <v>1</v>
      </c>
      <c r="F55" s="305">
        <v>0</v>
      </c>
      <c r="G55" s="305">
        <v>0</v>
      </c>
      <c r="H55" s="305">
        <v>3</v>
      </c>
      <c r="I55" s="305">
        <v>0</v>
      </c>
      <c r="J55" s="305">
        <v>0</v>
      </c>
      <c r="K55" s="305">
        <v>0</v>
      </c>
      <c r="L55" s="305"/>
    </row>
    <row r="56" spans="1:25" ht="17.25" x14ac:dyDescent="0.3">
      <c r="A56" s="419"/>
      <c r="B56" s="420"/>
      <c r="C56" s="173"/>
      <c r="D56" s="449" t="s">
        <v>1535</v>
      </c>
      <c r="E56" s="450"/>
      <c r="F56" s="450"/>
      <c r="G56" s="450"/>
      <c r="H56" s="450"/>
      <c r="I56" s="451"/>
      <c r="J56" s="451"/>
      <c r="K56" s="451"/>
      <c r="L56" s="451"/>
    </row>
    <row r="57" spans="1:25" ht="16.5" customHeight="1" thickBot="1" x14ac:dyDescent="0.3">
      <c r="A57" s="178"/>
      <c r="B57" s="420" t="s">
        <v>2</v>
      </c>
      <c r="C57" s="244"/>
      <c r="D57" s="1561" t="s">
        <v>81</v>
      </c>
      <c r="E57" s="1561"/>
      <c r="F57" s="1561"/>
      <c r="G57" s="1561"/>
      <c r="H57" s="1561"/>
      <c r="I57" s="192"/>
      <c r="J57" s="192"/>
      <c r="K57" s="192"/>
      <c r="L57" s="192"/>
    </row>
    <row r="58" spans="1:25" ht="17.25" thickBot="1" x14ac:dyDescent="0.3">
      <c r="A58" s="178"/>
      <c r="B58" s="425"/>
      <c r="C58" s="173" t="s">
        <v>50</v>
      </c>
      <c r="D58" s="1142" t="s">
        <v>1760</v>
      </c>
      <c r="E58" s="192">
        <f t="shared" ref="E58:I58" si="14">SUM(E59:E60)</f>
        <v>2585</v>
      </c>
      <c r="F58" s="192">
        <f t="shared" si="14"/>
        <v>3074</v>
      </c>
      <c r="G58" s="192">
        <f t="shared" si="14"/>
        <v>3074</v>
      </c>
      <c r="H58" s="192">
        <f t="shared" si="14"/>
        <v>3934</v>
      </c>
      <c r="I58" s="192">
        <f t="shared" si="14"/>
        <v>4860</v>
      </c>
      <c r="J58" s="192">
        <f t="shared" ref="J58:K58" si="15">SUM(J59:J60)</f>
        <v>4860</v>
      </c>
      <c r="K58" s="237">
        <f t="shared" si="15"/>
        <v>3660</v>
      </c>
      <c r="L58" s="192">
        <f t="shared" si="1"/>
        <v>75.308641975308646</v>
      </c>
    </row>
    <row r="59" spans="1:25" ht="16.5" x14ac:dyDescent="0.25">
      <c r="A59" s="178"/>
      <c r="B59" s="425"/>
      <c r="C59" s="244" t="s">
        <v>635</v>
      </c>
      <c r="D59" s="1144" t="s">
        <v>1474</v>
      </c>
      <c r="E59" s="192">
        <v>2154</v>
      </c>
      <c r="F59" s="192">
        <v>2647</v>
      </c>
      <c r="G59" s="192">
        <v>2647</v>
      </c>
      <c r="H59" s="192">
        <v>3278</v>
      </c>
      <c r="I59" s="192">
        <v>4860</v>
      </c>
      <c r="J59" s="192">
        <v>4860</v>
      </c>
      <c r="K59" s="192">
        <v>3660</v>
      </c>
      <c r="L59" s="192">
        <f t="shared" si="1"/>
        <v>75.308641975308646</v>
      </c>
    </row>
    <row r="60" spans="1:25" ht="17.25" thickBot="1" x14ac:dyDescent="0.3">
      <c r="A60" s="178"/>
      <c r="B60" s="425"/>
      <c r="C60" s="244" t="s">
        <v>76</v>
      </c>
      <c r="D60" s="1144" t="s">
        <v>1477</v>
      </c>
      <c r="E60" s="192">
        <v>431</v>
      </c>
      <c r="F60" s="192">
        <v>427</v>
      </c>
      <c r="G60" s="192">
        <v>427</v>
      </c>
      <c r="H60" s="192">
        <v>656</v>
      </c>
      <c r="I60" s="192"/>
      <c r="J60" s="192"/>
      <c r="K60" s="192"/>
      <c r="L60" s="192" t="e">
        <f t="shared" si="1"/>
        <v>#DIV/0!</v>
      </c>
    </row>
    <row r="61" spans="1:25" ht="15" customHeight="1" thickBot="1" x14ac:dyDescent="0.3">
      <c r="A61" s="178"/>
      <c r="B61" s="425"/>
      <c r="C61" s="173" t="s">
        <v>52</v>
      </c>
      <c r="D61" s="1142" t="s">
        <v>1526</v>
      </c>
      <c r="E61" s="192">
        <v>0</v>
      </c>
      <c r="F61" s="192">
        <v>0</v>
      </c>
      <c r="G61" s="192">
        <v>0</v>
      </c>
      <c r="H61" s="192"/>
      <c r="I61" s="192"/>
      <c r="J61" s="192"/>
      <c r="K61" s="237">
        <v>0</v>
      </c>
      <c r="L61" s="192" t="e">
        <f t="shared" si="1"/>
        <v>#DIV/0!</v>
      </c>
    </row>
    <row r="62" spans="1:25" ht="29.25" thickBot="1" x14ac:dyDescent="0.3">
      <c r="A62" s="178"/>
      <c r="B62" s="425"/>
      <c r="C62" s="173" t="s">
        <v>54</v>
      </c>
      <c r="D62" s="1142" t="s">
        <v>1527</v>
      </c>
      <c r="E62" s="192">
        <f t="shared" ref="E62:I62" si="16">SUM(E63+E68)</f>
        <v>0</v>
      </c>
      <c r="F62" s="192">
        <f t="shared" si="16"/>
        <v>0</v>
      </c>
      <c r="G62" s="192">
        <f t="shared" si="16"/>
        <v>759</v>
      </c>
      <c r="H62" s="192">
        <f t="shared" si="16"/>
        <v>0</v>
      </c>
      <c r="I62" s="192">
        <f t="shared" si="16"/>
        <v>24354</v>
      </c>
      <c r="J62" s="192">
        <f>SUM(J63+J68)</f>
        <v>24354</v>
      </c>
      <c r="K62" s="237">
        <f>SUM(K63+K68)</f>
        <v>0</v>
      </c>
      <c r="L62" s="192">
        <f t="shared" si="1"/>
        <v>0</v>
      </c>
    </row>
    <row r="63" spans="1:25" s="189" customFormat="1" ht="30" x14ac:dyDescent="0.25">
      <c r="A63" s="426"/>
      <c r="B63" s="427"/>
      <c r="C63" s="198" t="s">
        <v>186</v>
      </c>
      <c r="D63" s="1151" t="s">
        <v>1483</v>
      </c>
      <c r="E63" s="196">
        <f>SUM(E64:E66)</f>
        <v>0</v>
      </c>
      <c r="F63" s="196"/>
      <c r="G63" s="196">
        <f>SUM(G64:G66)</f>
        <v>499</v>
      </c>
      <c r="H63" s="196">
        <f>SUM(H64:H66)</f>
        <v>0</v>
      </c>
      <c r="I63" s="196">
        <f>SUM(I64:I66)</f>
        <v>24354</v>
      </c>
      <c r="J63" s="196">
        <f t="shared" ref="J63" si="17">SUM(J64:J66)</f>
        <v>24132</v>
      </c>
      <c r="K63" s="196">
        <f>SUM(K64)</f>
        <v>0</v>
      </c>
      <c r="L63" s="196">
        <f t="shared" si="1"/>
        <v>0</v>
      </c>
      <c r="Y63" s="438"/>
    </row>
    <row r="64" spans="1:25" ht="32.25" customHeight="1" thickBot="1" x14ac:dyDescent="0.3">
      <c r="A64" s="178"/>
      <c r="B64" s="425"/>
      <c r="C64" s="244" t="s">
        <v>580</v>
      </c>
      <c r="D64" s="1152" t="s">
        <v>34</v>
      </c>
      <c r="E64" s="192"/>
      <c r="F64" s="192"/>
      <c r="G64" s="192"/>
      <c r="H64" s="192"/>
      <c r="I64" s="192"/>
      <c r="J64" s="192"/>
      <c r="K64" s="192">
        <v>0</v>
      </c>
      <c r="L64" s="192" t="e">
        <f t="shared" si="1"/>
        <v>#DIV/0!</v>
      </c>
    </row>
    <row r="65" spans="1:12" ht="32.25" customHeight="1" thickBot="1" x14ac:dyDescent="0.3">
      <c r="A65" s="1236"/>
      <c r="B65" s="1237"/>
      <c r="C65" s="180" t="s">
        <v>56</v>
      </c>
      <c r="D65" s="1142" t="s">
        <v>1528</v>
      </c>
      <c r="E65" s="1238"/>
      <c r="F65" s="1238"/>
      <c r="G65" s="1238"/>
      <c r="H65" s="1238"/>
      <c r="I65" s="1238"/>
      <c r="J65" s="1238"/>
      <c r="K65" s="1239">
        <f>SUM(K66)</f>
        <v>23200</v>
      </c>
      <c r="L65" s="1238"/>
    </row>
    <row r="66" spans="1:12" ht="30.75" thickBot="1" x14ac:dyDescent="0.3">
      <c r="A66" s="178"/>
      <c r="B66" s="425"/>
      <c r="C66" s="244" t="s">
        <v>1533</v>
      </c>
      <c r="D66" s="1144" t="s">
        <v>1529</v>
      </c>
      <c r="E66" s="192"/>
      <c r="F66" s="192"/>
      <c r="G66" s="192">
        <v>499</v>
      </c>
      <c r="H66" s="192">
        <v>0</v>
      </c>
      <c r="I66" s="192">
        <v>24354</v>
      </c>
      <c r="J66" s="192">
        <v>24132</v>
      </c>
      <c r="K66" s="192">
        <v>23200</v>
      </c>
      <c r="L66" s="192">
        <f t="shared" si="1"/>
        <v>96.137908171722202</v>
      </c>
    </row>
    <row r="67" spans="1:12" ht="17.25" thickBot="1" x14ac:dyDescent="0.3">
      <c r="A67" s="1236"/>
      <c r="B67" s="1237"/>
      <c r="C67" s="180" t="s">
        <v>227</v>
      </c>
      <c r="D67" s="1142" t="s">
        <v>1496</v>
      </c>
      <c r="E67" s="1238"/>
      <c r="F67" s="1238"/>
      <c r="G67" s="1238"/>
      <c r="H67" s="1238"/>
      <c r="I67" s="1238"/>
      <c r="J67" s="1238"/>
      <c r="K67" s="1238"/>
      <c r="L67" s="1238"/>
    </row>
    <row r="68" spans="1:12" ht="17.25" thickBot="1" x14ac:dyDescent="0.3">
      <c r="A68" s="178"/>
      <c r="B68" s="425"/>
      <c r="C68" s="180" t="s">
        <v>228</v>
      </c>
      <c r="D68" s="1142" t="s">
        <v>1530</v>
      </c>
      <c r="E68" s="192"/>
      <c r="F68" s="192"/>
      <c r="G68" s="192">
        <v>260</v>
      </c>
      <c r="H68" s="192">
        <v>0</v>
      </c>
      <c r="I68" s="192"/>
      <c r="J68" s="192">
        <v>222</v>
      </c>
      <c r="K68" s="192"/>
      <c r="L68" s="192">
        <f t="shared" si="1"/>
        <v>0</v>
      </c>
    </row>
    <row r="69" spans="1:12" ht="16.5" x14ac:dyDescent="0.25">
      <c r="A69" s="178"/>
      <c r="B69" s="425"/>
      <c r="C69" s="180" t="s">
        <v>657</v>
      </c>
      <c r="D69" s="430" t="s">
        <v>599</v>
      </c>
      <c r="E69" s="431">
        <f t="shared" ref="E69:I69" si="18">SUM(E58+E62+E61)</f>
        <v>2585</v>
      </c>
      <c r="F69" s="431">
        <f t="shared" si="18"/>
        <v>3074</v>
      </c>
      <c r="G69" s="431">
        <f t="shared" si="18"/>
        <v>3833</v>
      </c>
      <c r="H69" s="431">
        <f t="shared" si="18"/>
        <v>3934</v>
      </c>
      <c r="I69" s="431">
        <f t="shared" si="18"/>
        <v>29214</v>
      </c>
      <c r="J69" s="431">
        <f>SUM(J58+J62+J61)</f>
        <v>29214</v>
      </c>
      <c r="K69" s="431">
        <f>SUM(K58+K62+K61)+K65</f>
        <v>26860</v>
      </c>
      <c r="L69" s="431">
        <f t="shared" si="1"/>
        <v>91.942219483809126</v>
      </c>
    </row>
    <row r="70" spans="1:12" ht="16.5" customHeight="1" thickBot="1" x14ac:dyDescent="0.3">
      <c r="A70" s="178"/>
      <c r="B70" s="420" t="s">
        <v>3</v>
      </c>
      <c r="C70" s="245"/>
      <c r="D70" s="1561" t="s">
        <v>82</v>
      </c>
      <c r="E70" s="1561"/>
      <c r="F70" s="1561"/>
      <c r="G70" s="1561"/>
      <c r="H70" s="1561"/>
      <c r="I70" s="192"/>
      <c r="J70" s="192"/>
      <c r="K70" s="192"/>
      <c r="L70" s="192"/>
    </row>
    <row r="71" spans="1:12" ht="16.5" customHeight="1" thickBot="1" x14ac:dyDescent="0.3">
      <c r="A71" s="1236"/>
      <c r="B71" s="1240"/>
      <c r="C71" s="180" t="s">
        <v>4</v>
      </c>
      <c r="D71" s="1142" t="s">
        <v>1760</v>
      </c>
      <c r="E71" s="1241"/>
      <c r="F71" s="1241"/>
      <c r="G71" s="1241"/>
      <c r="H71" s="1241"/>
      <c r="I71" s="1238"/>
      <c r="J71" s="1238"/>
      <c r="K71" s="1239">
        <f>SUM(K72:K74)</f>
        <v>26860</v>
      </c>
      <c r="L71" s="1238"/>
    </row>
    <row r="72" spans="1:12" ht="16.5" x14ac:dyDescent="0.25">
      <c r="A72" s="178"/>
      <c r="B72" s="425"/>
      <c r="C72" s="245" t="s">
        <v>4</v>
      </c>
      <c r="D72" s="191" t="s">
        <v>272</v>
      </c>
      <c r="E72" s="192">
        <v>1962</v>
      </c>
      <c r="F72" s="192">
        <v>2295</v>
      </c>
      <c r="G72" s="192">
        <v>2363</v>
      </c>
      <c r="H72" s="192">
        <v>2499</v>
      </c>
      <c r="I72" s="192">
        <v>12869</v>
      </c>
      <c r="J72" s="192">
        <v>12869</v>
      </c>
      <c r="K72" s="192">
        <v>3840</v>
      </c>
      <c r="L72" s="192">
        <f t="shared" si="1"/>
        <v>29.839148340974436</v>
      </c>
    </row>
    <row r="73" spans="1:12" ht="16.5" x14ac:dyDescent="0.25">
      <c r="A73" s="178"/>
      <c r="B73" s="425"/>
      <c r="C73" s="245" t="s">
        <v>6</v>
      </c>
      <c r="D73" s="191" t="s">
        <v>273</v>
      </c>
      <c r="E73" s="192">
        <v>587</v>
      </c>
      <c r="F73" s="192">
        <v>699</v>
      </c>
      <c r="G73" s="192">
        <v>721</v>
      </c>
      <c r="H73" s="192">
        <v>719</v>
      </c>
      <c r="I73" s="192">
        <v>3527</v>
      </c>
      <c r="J73" s="192">
        <v>3527</v>
      </c>
      <c r="K73" s="192">
        <v>960</v>
      </c>
      <c r="L73" s="192">
        <f t="shared" si="1"/>
        <v>27.218599376240434</v>
      </c>
    </row>
    <row r="74" spans="1:12" ht="17.25" thickBot="1" x14ac:dyDescent="0.3">
      <c r="A74" s="178"/>
      <c r="B74" s="425"/>
      <c r="C74" s="245" t="s">
        <v>7</v>
      </c>
      <c r="D74" s="191" t="s">
        <v>86</v>
      </c>
      <c r="E74" s="192">
        <v>36</v>
      </c>
      <c r="F74" s="192">
        <v>80</v>
      </c>
      <c r="G74" s="192">
        <v>489</v>
      </c>
      <c r="H74" s="192">
        <v>716</v>
      </c>
      <c r="I74" s="192">
        <v>12818</v>
      </c>
      <c r="J74" s="192">
        <v>12596</v>
      </c>
      <c r="K74" s="192">
        <v>22060</v>
      </c>
      <c r="L74" s="192">
        <f t="shared" si="1"/>
        <v>175.13496348046999</v>
      </c>
    </row>
    <row r="75" spans="1:12" ht="17.25" thickBot="1" x14ac:dyDescent="0.3">
      <c r="A75" s="1236"/>
      <c r="B75" s="1237"/>
      <c r="C75" s="180" t="s">
        <v>6</v>
      </c>
      <c r="D75" s="1156" t="s">
        <v>1532</v>
      </c>
      <c r="E75" s="1238"/>
      <c r="F75" s="1238"/>
      <c r="G75" s="1238"/>
      <c r="H75" s="1238"/>
      <c r="I75" s="1238"/>
      <c r="J75" s="1238"/>
      <c r="K75" s="1239">
        <f>SUM(K76:K78)</f>
        <v>0</v>
      </c>
      <c r="L75" s="1238"/>
    </row>
    <row r="76" spans="1:12" ht="16.5" x14ac:dyDescent="0.25">
      <c r="A76" s="178"/>
      <c r="B76" s="425"/>
      <c r="C76" s="245" t="s">
        <v>537</v>
      </c>
      <c r="D76" s="191" t="s">
        <v>607</v>
      </c>
      <c r="E76" s="192"/>
      <c r="F76" s="192"/>
      <c r="G76" s="192"/>
      <c r="H76" s="192"/>
      <c r="I76" s="192"/>
      <c r="J76" s="192"/>
      <c r="K76" s="192"/>
      <c r="L76" s="192" t="e">
        <f t="shared" si="1"/>
        <v>#DIV/0!</v>
      </c>
    </row>
    <row r="77" spans="1:12" ht="16.5" x14ac:dyDescent="0.25">
      <c r="A77" s="178"/>
      <c r="B77" s="425"/>
      <c r="C77" s="245" t="s">
        <v>786</v>
      </c>
      <c r="D77" s="191" t="s">
        <v>608</v>
      </c>
      <c r="E77" s="192"/>
      <c r="F77" s="192"/>
      <c r="G77" s="192">
        <v>260</v>
      </c>
      <c r="H77" s="192">
        <v>0</v>
      </c>
      <c r="I77" s="192"/>
      <c r="J77" s="192">
        <v>222</v>
      </c>
      <c r="K77" s="192"/>
      <c r="L77" s="192">
        <f t="shared" si="1"/>
        <v>0</v>
      </c>
    </row>
    <row r="78" spans="1:12" ht="16.5" x14ac:dyDescent="0.25">
      <c r="A78" s="178"/>
      <c r="B78" s="425"/>
      <c r="C78" s="245" t="s">
        <v>787</v>
      </c>
      <c r="D78" s="191" t="s">
        <v>1500</v>
      </c>
      <c r="E78" s="192"/>
      <c r="F78" s="192"/>
      <c r="G78" s="192"/>
      <c r="H78" s="192"/>
      <c r="I78" s="192"/>
      <c r="J78" s="192"/>
      <c r="K78" s="192"/>
      <c r="L78" s="192" t="e">
        <f t="shared" si="1"/>
        <v>#DIV/0!</v>
      </c>
    </row>
    <row r="79" spans="1:12" ht="16.5" x14ac:dyDescent="0.25">
      <c r="A79" s="178"/>
      <c r="B79" s="425"/>
      <c r="C79" s="245"/>
      <c r="D79" s="432" t="s">
        <v>610</v>
      </c>
      <c r="E79" s="431">
        <f t="shared" ref="E79:I79" si="19">SUM(E72:E78)</f>
        <v>2585</v>
      </c>
      <c r="F79" s="431">
        <f t="shared" si="19"/>
        <v>3074</v>
      </c>
      <c r="G79" s="431">
        <f t="shared" si="19"/>
        <v>3833</v>
      </c>
      <c r="H79" s="431">
        <f t="shared" si="19"/>
        <v>3934</v>
      </c>
      <c r="I79" s="431">
        <f t="shared" si="19"/>
        <v>29214</v>
      </c>
      <c r="J79" s="431">
        <f t="shared" ref="J79:K79" si="20">SUM(J72:J78)</f>
        <v>29214</v>
      </c>
      <c r="K79" s="431">
        <f t="shared" si="20"/>
        <v>26860</v>
      </c>
      <c r="L79" s="431">
        <f t="shared" si="1"/>
        <v>91.942219483809126</v>
      </c>
    </row>
    <row r="80" spans="1:12" ht="16.5" x14ac:dyDescent="0.25">
      <c r="A80" s="178"/>
      <c r="B80" s="420" t="s">
        <v>12</v>
      </c>
      <c r="C80" s="174"/>
      <c r="D80" s="433" t="s">
        <v>611</v>
      </c>
      <c r="E80" s="305">
        <v>1</v>
      </c>
      <c r="F80" s="305">
        <v>1</v>
      </c>
      <c r="G80" s="305">
        <v>1</v>
      </c>
      <c r="H80" s="305">
        <v>1</v>
      </c>
      <c r="I80" s="305">
        <v>1</v>
      </c>
      <c r="J80" s="305">
        <v>1</v>
      </c>
      <c r="K80" s="305">
        <v>1</v>
      </c>
      <c r="L80" s="305"/>
    </row>
    <row r="81" spans="1:25" ht="17.25" x14ac:dyDescent="0.3">
      <c r="A81" s="419"/>
      <c r="B81" s="420"/>
      <c r="C81" s="173"/>
      <c r="D81" s="449" t="s">
        <v>1536</v>
      </c>
      <c r="E81" s="450"/>
      <c r="F81" s="450"/>
      <c r="G81" s="450"/>
      <c r="H81" s="450"/>
      <c r="I81" s="451"/>
      <c r="J81" s="451"/>
      <c r="K81" s="451"/>
      <c r="L81" s="451"/>
    </row>
    <row r="82" spans="1:25" ht="16.5" customHeight="1" thickBot="1" x14ac:dyDescent="0.3">
      <c r="A82" s="178"/>
      <c r="B82" s="420" t="s">
        <v>2</v>
      </c>
      <c r="C82" s="244"/>
      <c r="D82" s="1561" t="s">
        <v>81</v>
      </c>
      <c r="E82" s="1561"/>
      <c r="F82" s="1561"/>
      <c r="G82" s="1561"/>
      <c r="H82" s="1561"/>
      <c r="I82" s="192"/>
      <c r="J82" s="192"/>
      <c r="K82" s="192"/>
      <c r="L82" s="192"/>
    </row>
    <row r="83" spans="1:25" ht="17.25" thickBot="1" x14ac:dyDescent="0.3">
      <c r="A83" s="178"/>
      <c r="B83" s="425"/>
      <c r="C83" s="173" t="s">
        <v>50</v>
      </c>
      <c r="D83" s="1142" t="s">
        <v>1760</v>
      </c>
      <c r="E83" s="192"/>
      <c r="F83" s="192"/>
      <c r="G83" s="192"/>
      <c r="H83" s="202"/>
      <c r="I83" s="192"/>
      <c r="J83" s="192"/>
      <c r="K83" s="237">
        <v>0</v>
      </c>
      <c r="L83" s="192" t="e">
        <f t="shared" ref="L83:L160" si="21">K83/J83*100</f>
        <v>#DIV/0!</v>
      </c>
    </row>
    <row r="84" spans="1:25" ht="15" customHeight="1" thickBot="1" x14ac:dyDescent="0.3">
      <c r="A84" s="178"/>
      <c r="B84" s="425"/>
      <c r="C84" s="173" t="s">
        <v>52</v>
      </c>
      <c r="D84" s="1142" t="s">
        <v>1526</v>
      </c>
      <c r="E84" s="192">
        <v>0</v>
      </c>
      <c r="F84" s="192">
        <v>0</v>
      </c>
      <c r="G84" s="192">
        <v>0</v>
      </c>
      <c r="H84" s="202"/>
      <c r="I84" s="192">
        <v>0</v>
      </c>
      <c r="J84" s="192"/>
      <c r="K84" s="237">
        <v>0</v>
      </c>
      <c r="L84" s="192" t="e">
        <f t="shared" si="21"/>
        <v>#DIV/0!</v>
      </c>
    </row>
    <row r="85" spans="1:25" ht="29.25" thickBot="1" x14ac:dyDescent="0.3">
      <c r="A85" s="178"/>
      <c r="B85" s="425"/>
      <c r="C85" s="173" t="s">
        <v>54</v>
      </c>
      <c r="D85" s="1142" t="s">
        <v>1527</v>
      </c>
      <c r="E85" s="192">
        <f t="shared" ref="E85:I85" si="22">SUM(E86+E90)</f>
        <v>11898</v>
      </c>
      <c r="F85" s="192">
        <f t="shared" si="22"/>
        <v>13011</v>
      </c>
      <c r="G85" s="192">
        <f t="shared" si="22"/>
        <v>13387</v>
      </c>
      <c r="H85" s="202">
        <f t="shared" si="22"/>
        <v>0</v>
      </c>
      <c r="I85" s="192">
        <f t="shared" si="22"/>
        <v>11928</v>
      </c>
      <c r="J85" s="192">
        <f t="shared" ref="J85:K85" si="23">SUM(J86+J90)</f>
        <v>11928</v>
      </c>
      <c r="K85" s="237">
        <f t="shared" si="23"/>
        <v>11928</v>
      </c>
      <c r="L85" s="192">
        <f t="shared" si="21"/>
        <v>100</v>
      </c>
    </row>
    <row r="86" spans="1:25" s="189" customFormat="1" ht="30" x14ac:dyDescent="0.25">
      <c r="A86" s="426"/>
      <c r="B86" s="427"/>
      <c r="C86" s="198" t="s">
        <v>186</v>
      </c>
      <c r="D86" s="1151" t="s">
        <v>1483</v>
      </c>
      <c r="E86" s="196">
        <f t="shared" ref="E86:I86" si="24">SUM(E87:E89)</f>
        <v>11898</v>
      </c>
      <c r="F86" s="196">
        <f t="shared" si="24"/>
        <v>13011</v>
      </c>
      <c r="G86" s="196">
        <f t="shared" si="24"/>
        <v>13387</v>
      </c>
      <c r="H86" s="452">
        <f t="shared" si="24"/>
        <v>0</v>
      </c>
      <c r="I86" s="196">
        <f t="shared" si="24"/>
        <v>11928</v>
      </c>
      <c r="J86" s="196">
        <f t="shared" ref="J86:K86" si="25">SUM(J87:J89)</f>
        <v>11928</v>
      </c>
      <c r="K86" s="196">
        <f t="shared" si="25"/>
        <v>11928</v>
      </c>
      <c r="L86" s="196">
        <f t="shared" si="21"/>
        <v>100</v>
      </c>
      <c r="Y86" s="438"/>
    </row>
    <row r="87" spans="1:25" ht="30.75" thickBot="1" x14ac:dyDescent="0.3">
      <c r="A87" s="178"/>
      <c r="B87" s="425"/>
      <c r="C87" s="244" t="s">
        <v>580</v>
      </c>
      <c r="D87" s="1152" t="s">
        <v>34</v>
      </c>
      <c r="E87" s="192">
        <v>10776</v>
      </c>
      <c r="F87" s="192">
        <v>10236</v>
      </c>
      <c r="G87" s="192">
        <v>10236</v>
      </c>
      <c r="H87" s="202">
        <v>0</v>
      </c>
      <c r="I87" s="192">
        <v>11928</v>
      </c>
      <c r="J87" s="192">
        <v>11928</v>
      </c>
      <c r="K87" s="192">
        <v>11928</v>
      </c>
      <c r="L87" s="192">
        <f t="shared" si="21"/>
        <v>100</v>
      </c>
    </row>
    <row r="88" spans="1:25" ht="17.25" thickBot="1" x14ac:dyDescent="0.3">
      <c r="A88" s="1236"/>
      <c r="B88" s="1237"/>
      <c r="C88" s="180" t="s">
        <v>56</v>
      </c>
      <c r="D88" s="1142" t="s">
        <v>1528</v>
      </c>
      <c r="E88" s="1238"/>
      <c r="F88" s="1238"/>
      <c r="G88" s="1238"/>
      <c r="H88" s="202"/>
      <c r="I88" s="1238"/>
      <c r="J88" s="1238"/>
      <c r="K88" s="1239">
        <f>SUM(K89)</f>
        <v>0</v>
      </c>
      <c r="L88" s="1238"/>
    </row>
    <row r="89" spans="1:25" ht="30.75" thickBot="1" x14ac:dyDescent="0.3">
      <c r="A89" s="178"/>
      <c r="B89" s="425"/>
      <c r="C89" s="244" t="s">
        <v>1533</v>
      </c>
      <c r="D89" s="1144" t="s">
        <v>1529</v>
      </c>
      <c r="E89" s="192">
        <v>1122</v>
      </c>
      <c r="F89" s="192">
        <v>2775</v>
      </c>
      <c r="G89" s="192">
        <v>3151</v>
      </c>
      <c r="H89" s="202">
        <v>0</v>
      </c>
      <c r="I89" s="192"/>
      <c r="J89" s="192"/>
      <c r="K89" s="192">
        <v>0</v>
      </c>
      <c r="L89" s="192" t="e">
        <f t="shared" si="21"/>
        <v>#DIV/0!</v>
      </c>
    </row>
    <row r="90" spans="1:25" ht="17.25" thickBot="1" x14ac:dyDescent="0.3">
      <c r="A90" s="178"/>
      <c r="B90" s="425"/>
      <c r="C90" s="180" t="s">
        <v>227</v>
      </c>
      <c r="D90" s="1142" t="s">
        <v>1496</v>
      </c>
      <c r="E90" s="192"/>
      <c r="F90" s="192"/>
      <c r="G90" s="192"/>
      <c r="H90" s="202"/>
      <c r="I90" s="192"/>
      <c r="J90" s="192"/>
      <c r="K90" s="192"/>
      <c r="L90" s="192" t="e">
        <f t="shared" si="21"/>
        <v>#DIV/0!</v>
      </c>
    </row>
    <row r="91" spans="1:25" s="183" customFormat="1" ht="17.25" thickBot="1" x14ac:dyDescent="0.3">
      <c r="A91" s="178"/>
      <c r="B91" s="179"/>
      <c r="C91" s="180" t="s">
        <v>228</v>
      </c>
      <c r="D91" s="1142" t="s">
        <v>1530</v>
      </c>
      <c r="E91" s="182"/>
      <c r="F91" s="182"/>
      <c r="G91" s="182"/>
      <c r="H91" s="182"/>
      <c r="I91" s="192"/>
      <c r="J91" s="192"/>
      <c r="K91" s="192"/>
      <c r="L91" s="192" t="e">
        <f t="shared" si="21"/>
        <v>#DIV/0!</v>
      </c>
    </row>
    <row r="92" spans="1:25" ht="16.5" x14ac:dyDescent="0.25">
      <c r="A92" s="178"/>
      <c r="B92" s="425"/>
      <c r="C92" s="180" t="s">
        <v>657</v>
      </c>
      <c r="D92" s="430" t="s">
        <v>599</v>
      </c>
      <c r="E92" s="431">
        <f>SUM(E83+E85+E84)</f>
        <v>11898</v>
      </c>
      <c r="F92" s="431">
        <f>SUM(F83+F85+F84)</f>
        <v>13011</v>
      </c>
      <c r="G92" s="431">
        <f>SUM(G83+G85+G84)</f>
        <v>13387</v>
      </c>
      <c r="H92" s="453">
        <f>SUM(H83+H85+H84)</f>
        <v>0</v>
      </c>
      <c r="I92" s="431">
        <f>SUM(I83+I85+I84+I91)</f>
        <v>11928</v>
      </c>
      <c r="J92" s="431">
        <f t="shared" ref="J92:K92" si="26">SUM(J83+J85+J84+J91)</f>
        <v>11928</v>
      </c>
      <c r="K92" s="431">
        <f t="shared" si="26"/>
        <v>11928</v>
      </c>
      <c r="L92" s="431">
        <f t="shared" si="21"/>
        <v>100</v>
      </c>
    </row>
    <row r="93" spans="1:25" ht="16.5" customHeight="1" thickBot="1" x14ac:dyDescent="0.3">
      <c r="A93" s="178"/>
      <c r="B93" s="420" t="s">
        <v>3</v>
      </c>
      <c r="C93" s="245"/>
      <c r="D93" s="1561" t="s">
        <v>82</v>
      </c>
      <c r="E93" s="1561"/>
      <c r="F93" s="1561"/>
      <c r="G93" s="1561"/>
      <c r="H93" s="1561"/>
      <c r="I93" s="192"/>
      <c r="J93" s="192"/>
      <c r="K93" s="192"/>
      <c r="L93" s="192"/>
    </row>
    <row r="94" spans="1:25" ht="16.5" customHeight="1" thickBot="1" x14ac:dyDescent="0.3">
      <c r="A94" s="1236"/>
      <c r="B94" s="1240"/>
      <c r="C94" s="180" t="s">
        <v>4</v>
      </c>
      <c r="D94" s="1142" t="s">
        <v>1760</v>
      </c>
      <c r="E94" s="1241"/>
      <c r="F94" s="1241"/>
      <c r="G94" s="1241"/>
      <c r="H94" s="1241"/>
      <c r="I94" s="1238"/>
      <c r="J94" s="1238"/>
      <c r="K94" s="1239">
        <f>SUM(K95:K97)</f>
        <v>11928</v>
      </c>
      <c r="L94" s="1238"/>
    </row>
    <row r="95" spans="1:25" ht="16.5" x14ac:dyDescent="0.25">
      <c r="A95" s="178"/>
      <c r="B95" s="425"/>
      <c r="C95" s="245" t="s">
        <v>4</v>
      </c>
      <c r="D95" s="191" t="s">
        <v>272</v>
      </c>
      <c r="E95" s="192">
        <v>7165</v>
      </c>
      <c r="F95" s="192">
        <v>8560</v>
      </c>
      <c r="G95" s="192">
        <v>8845</v>
      </c>
      <c r="H95" s="202">
        <v>0</v>
      </c>
      <c r="I95" s="192">
        <v>8438</v>
      </c>
      <c r="J95" s="192">
        <v>8438</v>
      </c>
      <c r="K95" s="192">
        <v>7776</v>
      </c>
      <c r="L95" s="192">
        <f t="shared" si="21"/>
        <v>92.154538990282049</v>
      </c>
    </row>
    <row r="96" spans="1:25" ht="16.5" x14ac:dyDescent="0.25">
      <c r="A96" s="178"/>
      <c r="B96" s="425"/>
      <c r="C96" s="245" t="s">
        <v>6</v>
      </c>
      <c r="D96" s="191" t="s">
        <v>273</v>
      </c>
      <c r="E96" s="192">
        <v>2274</v>
      </c>
      <c r="F96" s="192">
        <v>2699</v>
      </c>
      <c r="G96" s="192">
        <v>2790</v>
      </c>
      <c r="H96" s="202">
        <v>0</v>
      </c>
      <c r="I96" s="192">
        <v>2303</v>
      </c>
      <c r="J96" s="192">
        <v>2303</v>
      </c>
      <c r="K96" s="192">
        <v>2001</v>
      </c>
      <c r="L96" s="192">
        <f t="shared" si="21"/>
        <v>86.886669561441593</v>
      </c>
    </row>
    <row r="97" spans="1:25" ht="17.25" thickBot="1" x14ac:dyDescent="0.3">
      <c r="A97" s="178"/>
      <c r="B97" s="425"/>
      <c r="C97" s="245" t="s">
        <v>7</v>
      </c>
      <c r="D97" s="191" t="s">
        <v>86</v>
      </c>
      <c r="E97" s="192">
        <v>2459</v>
      </c>
      <c r="F97" s="192">
        <v>1752</v>
      </c>
      <c r="G97" s="192">
        <v>1752</v>
      </c>
      <c r="H97" s="202">
        <v>0</v>
      </c>
      <c r="I97" s="192">
        <v>1187</v>
      </c>
      <c r="J97" s="192">
        <v>1187</v>
      </c>
      <c r="K97" s="192">
        <v>2151</v>
      </c>
      <c r="L97" s="192">
        <f t="shared" si="21"/>
        <v>181.21314237573716</v>
      </c>
    </row>
    <row r="98" spans="1:25" ht="17.25" thickBot="1" x14ac:dyDescent="0.3">
      <c r="A98" s="1236"/>
      <c r="B98" s="1237"/>
      <c r="C98" s="180" t="s">
        <v>6</v>
      </c>
      <c r="D98" s="1156" t="s">
        <v>1532</v>
      </c>
      <c r="E98" s="1238"/>
      <c r="F98" s="1238"/>
      <c r="G98" s="1238"/>
      <c r="H98" s="202"/>
      <c r="I98" s="1238"/>
      <c r="J98" s="1238"/>
      <c r="K98" s="1239">
        <f>SUM(K99:K101)</f>
        <v>0</v>
      </c>
      <c r="L98" s="1238"/>
    </row>
    <row r="99" spans="1:25" ht="16.5" x14ac:dyDescent="0.25">
      <c r="A99" s="178"/>
      <c r="B99" s="425"/>
      <c r="C99" s="245" t="s">
        <v>537</v>
      </c>
      <c r="D99" s="191" t="s">
        <v>607</v>
      </c>
      <c r="E99" s="192"/>
      <c r="F99" s="192"/>
      <c r="G99" s="192"/>
      <c r="H99" s="202"/>
      <c r="I99" s="192"/>
      <c r="J99" s="192"/>
      <c r="K99" s="192"/>
      <c r="L99" s="192" t="e">
        <f t="shared" si="21"/>
        <v>#DIV/0!</v>
      </c>
    </row>
    <row r="100" spans="1:25" ht="16.5" x14ac:dyDescent="0.25">
      <c r="A100" s="178"/>
      <c r="B100" s="425"/>
      <c r="C100" s="245" t="s">
        <v>786</v>
      </c>
      <c r="D100" s="191" t="s">
        <v>608</v>
      </c>
      <c r="E100" s="192"/>
      <c r="F100" s="192"/>
      <c r="G100" s="192"/>
      <c r="H100" s="202"/>
      <c r="I100" s="192"/>
      <c r="J100" s="192"/>
      <c r="K100" s="192"/>
      <c r="L100" s="192" t="e">
        <f t="shared" si="21"/>
        <v>#DIV/0!</v>
      </c>
    </row>
    <row r="101" spans="1:25" ht="16.5" x14ac:dyDescent="0.25">
      <c r="A101" s="178"/>
      <c r="B101" s="425"/>
      <c r="C101" s="245" t="s">
        <v>787</v>
      </c>
      <c r="D101" s="191" t="s">
        <v>1500</v>
      </c>
      <c r="E101" s="192"/>
      <c r="F101" s="192"/>
      <c r="G101" s="192"/>
      <c r="H101" s="202"/>
      <c r="I101" s="192"/>
      <c r="J101" s="192"/>
      <c r="K101" s="192"/>
      <c r="L101" s="192" t="e">
        <f t="shared" si="21"/>
        <v>#DIV/0!</v>
      </c>
    </row>
    <row r="102" spans="1:25" ht="16.5" x14ac:dyDescent="0.25">
      <c r="A102" s="178"/>
      <c r="B102" s="425"/>
      <c r="C102" s="245"/>
      <c r="D102" s="432" t="s">
        <v>610</v>
      </c>
      <c r="E102" s="431">
        <f t="shared" ref="E102:I102" si="27">SUM(E95:E101)</f>
        <v>11898</v>
      </c>
      <c r="F102" s="431">
        <f t="shared" si="27"/>
        <v>13011</v>
      </c>
      <c r="G102" s="431">
        <f t="shared" si="27"/>
        <v>13387</v>
      </c>
      <c r="H102" s="453">
        <f t="shared" si="27"/>
        <v>0</v>
      </c>
      <c r="I102" s="431">
        <f t="shared" si="27"/>
        <v>11928</v>
      </c>
      <c r="J102" s="431">
        <f t="shared" ref="J102:K102" si="28">SUM(J95:J101)</f>
        <v>11928</v>
      </c>
      <c r="K102" s="431">
        <f t="shared" si="28"/>
        <v>11928</v>
      </c>
      <c r="L102" s="431">
        <f t="shared" si="21"/>
        <v>100</v>
      </c>
    </row>
    <row r="103" spans="1:25" ht="16.5" x14ac:dyDescent="0.25">
      <c r="A103" s="178"/>
      <c r="B103" s="420" t="s">
        <v>12</v>
      </c>
      <c r="C103" s="174"/>
      <c r="D103" s="433" t="s">
        <v>611</v>
      </c>
      <c r="E103" s="305">
        <v>3</v>
      </c>
      <c r="F103" s="305">
        <v>3</v>
      </c>
      <c r="G103" s="305">
        <v>3</v>
      </c>
      <c r="H103" s="305">
        <v>0</v>
      </c>
      <c r="I103" s="305">
        <v>3</v>
      </c>
      <c r="J103" s="305">
        <v>3</v>
      </c>
      <c r="K103" s="305">
        <v>3</v>
      </c>
      <c r="L103" s="305"/>
    </row>
    <row r="104" spans="1:25" ht="18" thickBot="1" x14ac:dyDescent="0.35">
      <c r="A104" s="419"/>
      <c r="B104" s="420"/>
      <c r="C104" s="173"/>
      <c r="D104" s="449" t="s">
        <v>1537</v>
      </c>
      <c r="E104" s="450"/>
      <c r="F104" s="450"/>
      <c r="G104" s="450"/>
      <c r="H104" s="450"/>
      <c r="I104" s="451"/>
      <c r="J104" s="451"/>
      <c r="K104" s="451"/>
      <c r="L104" s="451"/>
      <c r="M104" s="197" t="s">
        <v>636</v>
      </c>
      <c r="N104" s="454" t="s">
        <v>637</v>
      </c>
      <c r="O104" s="454" t="s">
        <v>638</v>
      </c>
      <c r="P104" s="455" t="s">
        <v>639</v>
      </c>
      <c r="Q104" s="456" t="s">
        <v>640</v>
      </c>
      <c r="R104" s="456" t="s">
        <v>641</v>
      </c>
      <c r="S104" s="457" t="s">
        <v>1281</v>
      </c>
      <c r="T104" s="457" t="s">
        <v>1282</v>
      </c>
      <c r="U104" s="457" t="s">
        <v>1470</v>
      </c>
    </row>
    <row r="105" spans="1:25" ht="16.5" customHeight="1" thickBot="1" x14ac:dyDescent="0.3">
      <c r="A105" s="178"/>
      <c r="B105" s="420" t="s">
        <v>2</v>
      </c>
      <c r="C105" s="244"/>
      <c r="D105" s="1561" t="s">
        <v>81</v>
      </c>
      <c r="E105" s="1561"/>
      <c r="F105" s="1561"/>
      <c r="G105" s="1561"/>
      <c r="H105" s="1561"/>
      <c r="I105" s="192"/>
      <c r="J105" s="192"/>
      <c r="K105" s="192"/>
      <c r="L105" s="192"/>
      <c r="M105" s="1142" t="s">
        <v>1760</v>
      </c>
      <c r="N105" s="458" t="e">
        <f>SUM(#REF!,#REF!,#REF!,#REF!,#REF!,#REF!,#REF!,#REF!,#REF!,#REF!,#REF!,#REF!,#REF!,#REF!,#REF!,#REF!,#REF!,F2,F33,#REF!,F57,F86,F115,F148)</f>
        <v>#REF!</v>
      </c>
      <c r="O105" s="458">
        <f>SUM(H5+H35+H58+H83+H106+H129)</f>
        <v>10815</v>
      </c>
      <c r="P105" s="458" t="e">
        <f>SUM(#REF!+#REF!+#REF!+#REF!+#REF!+#REF!+#REF!+#REF!)</f>
        <v>#REF!</v>
      </c>
      <c r="Q105" s="458" t="e">
        <f>SUM(#REF!+#REF!+#REF!+#REF!+#REF!+#REF!+#REF!+#REF!)</f>
        <v>#REF!</v>
      </c>
      <c r="R105" s="458" t="e">
        <f>SUM(#REF!+#REF!+#REF!+#REF!+#REF!+#REF!+#REF!+#REF!)</f>
        <v>#REF!</v>
      </c>
      <c r="S105" s="458">
        <f>SUM(I5+I35+I58+I83+I106+I129+I152+I177)</f>
        <v>19150</v>
      </c>
      <c r="T105" s="458">
        <f>SUM(J5+J35+J58+J83+J106+J129+J152+J177)</f>
        <v>19150</v>
      </c>
      <c r="U105" s="458">
        <f>SUM(K5+K35+K58+K83+K106+K129+K152+K177)</f>
        <v>17911</v>
      </c>
      <c r="V105" s="309"/>
    </row>
    <row r="106" spans="1:25" ht="17.25" thickBot="1" x14ac:dyDescent="0.3">
      <c r="A106" s="178"/>
      <c r="B106" s="425"/>
      <c r="C106" s="173" t="s">
        <v>50</v>
      </c>
      <c r="D106" s="1142" t="s">
        <v>1760</v>
      </c>
      <c r="E106" s="192"/>
      <c r="F106" s="192"/>
      <c r="G106" s="192">
        <v>2</v>
      </c>
      <c r="H106" s="192">
        <v>0</v>
      </c>
      <c r="I106" s="192"/>
      <c r="J106" s="192"/>
      <c r="K106" s="237">
        <v>0</v>
      </c>
      <c r="L106" s="192" t="e">
        <f t="shared" si="21"/>
        <v>#DIV/0!</v>
      </c>
      <c r="M106" s="459" t="s">
        <v>642</v>
      </c>
      <c r="N106" s="216" t="e">
        <f>#REF!+#REF!+#REF!+#REF!+#REF!+#REF!+#REF!+#REF!+#REF!+#REF!+#REF!+#REF!+#REF!+#REF!+#REF!+#REF!+#REF!+E7+E34+#REF!+E63+E93+E123+E149</f>
        <v>#REF!</v>
      </c>
      <c r="O106" s="216">
        <f>SUM(H10+H36+H61+H84+H107+H130)</f>
        <v>0</v>
      </c>
      <c r="P106" s="216" t="e">
        <f>SUM(#REF!+#REF!+#REF!+#REF!+#REF!+#REF!+#REF!+#REF!)</f>
        <v>#REF!</v>
      </c>
      <c r="Q106" s="216" t="e">
        <f>SUM(#REF!+#REF!+#REF!+#REF!+#REF!+#REF!+#REF!+#REF!)</f>
        <v>#REF!</v>
      </c>
      <c r="R106" s="216" t="e">
        <f>SUM(#REF!+#REF!+#REF!+#REF!+#REF!+#REF!+#REF!+#REF!)</f>
        <v>#REF!</v>
      </c>
      <c r="S106" s="216">
        <f>SUM(I10+I36+I61+I84+I107+I130+I155+I178)</f>
        <v>0</v>
      </c>
      <c r="T106" s="216">
        <f>SUM(J10+J36+J61+J84+J107+J130+J155+J178)</f>
        <v>0</v>
      </c>
      <c r="U106" s="216">
        <f>SUM(K10+K36+K61+K84+K107+K130+K155+K178)</f>
        <v>0</v>
      </c>
      <c r="V106" s="309"/>
    </row>
    <row r="107" spans="1:25" ht="15" customHeight="1" thickBot="1" x14ac:dyDescent="0.3">
      <c r="A107" s="178"/>
      <c r="B107" s="425"/>
      <c r="C107" s="173" t="s">
        <v>52</v>
      </c>
      <c r="D107" s="1142" t="s">
        <v>1526</v>
      </c>
      <c r="E107" s="192">
        <v>0</v>
      </c>
      <c r="F107" s="192">
        <v>0</v>
      </c>
      <c r="G107" s="192">
        <v>0</v>
      </c>
      <c r="H107" s="192"/>
      <c r="I107" s="192"/>
      <c r="J107" s="192"/>
      <c r="K107" s="237">
        <v>0</v>
      </c>
      <c r="L107" s="192" t="e">
        <f t="shared" si="21"/>
        <v>#DIV/0!</v>
      </c>
      <c r="M107" s="191" t="s">
        <v>630</v>
      </c>
      <c r="N107" s="458"/>
      <c r="O107" s="458">
        <f>SUM(H9+H60)</f>
        <v>1803</v>
      </c>
      <c r="P107" s="458" t="e">
        <f>SUM(#REF!+#REF!+#REF!)</f>
        <v>#REF!</v>
      </c>
      <c r="Q107" s="458" t="e">
        <f>SUM(#REF!+#REF!+#REF!)</f>
        <v>#REF!</v>
      </c>
      <c r="R107" s="458" t="e">
        <f>SUM(#REF!+#REF!+#REF!)</f>
        <v>#REF!</v>
      </c>
      <c r="S107" s="458">
        <f>SUM(I9+I60+I154)</f>
        <v>0</v>
      </c>
      <c r="T107" s="458">
        <f>SUM(J9+J60+J154)</f>
        <v>0</v>
      </c>
      <c r="U107" s="458">
        <f>SUM(K9+K60+K154)</f>
        <v>0</v>
      </c>
      <c r="V107" s="309"/>
    </row>
    <row r="108" spans="1:25" ht="29.25" thickBot="1" x14ac:dyDescent="0.3">
      <c r="A108" s="178"/>
      <c r="B108" s="425"/>
      <c r="C108" s="173" t="s">
        <v>54</v>
      </c>
      <c r="D108" s="1142" t="s">
        <v>1527</v>
      </c>
      <c r="E108" s="192">
        <f t="shared" ref="E108:I108" si="29">SUM(E109+E114)</f>
        <v>27927</v>
      </c>
      <c r="F108" s="192">
        <f t="shared" si="29"/>
        <v>30134</v>
      </c>
      <c r="G108" s="192">
        <f t="shared" si="29"/>
        <v>31732</v>
      </c>
      <c r="H108" s="192">
        <f t="shared" si="29"/>
        <v>28884</v>
      </c>
      <c r="I108" s="192">
        <f t="shared" si="29"/>
        <v>29434</v>
      </c>
      <c r="J108" s="192">
        <f>SUM(J109+J114)</f>
        <v>30099</v>
      </c>
      <c r="K108" s="237">
        <f>SUM(K109)</f>
        <v>25658</v>
      </c>
      <c r="L108" s="192">
        <f t="shared" si="21"/>
        <v>85.245356988604271</v>
      </c>
      <c r="M108" s="191" t="s">
        <v>578</v>
      </c>
      <c r="N108" s="458" t="e">
        <f>SUM(#REF!,#REF!,#REF!,#REF!,#REF!,#REF!,#REF!,#REF!,#REF!,#REF!,#REF!,#REF!,#REF!,#REF!,#REF!,#REF!,#REF!,E8,E35,#REF!,E64,E95,E125,#REF!)</f>
        <v>#REF!</v>
      </c>
      <c r="O108" s="458">
        <f>SUM(H11+H37+H62+H85+H108+H131)</f>
        <v>326749</v>
      </c>
      <c r="P108" s="458" t="e">
        <f>SUM(#REF!+#REF!+#REF!+#REF!+#REF!+#REF!+#REF!+#REF!)</f>
        <v>#REF!</v>
      </c>
      <c r="Q108" s="458" t="e">
        <f>SUM(#REF!+#REF!+#REF!+#REF!+#REF!+#REF!+#REF!+#REF!)</f>
        <v>#REF!</v>
      </c>
      <c r="R108" s="458" t="e">
        <f>SUM(#REF!+#REF!+#REF!+#REF!+#REF!+#REF!+#REF!+#REF!)</f>
        <v>#REF!</v>
      </c>
      <c r="S108" s="458">
        <f t="shared" ref="S108:U110" si="30">SUM(I11+I37+I62+I85+I108+I131+I156+I179)</f>
        <v>524305</v>
      </c>
      <c r="T108" s="458">
        <f t="shared" si="30"/>
        <v>558605</v>
      </c>
      <c r="U108" s="458">
        <f t="shared" si="30"/>
        <v>418146</v>
      </c>
      <c r="V108" s="309"/>
    </row>
    <row r="109" spans="1:25" s="189" customFormat="1" ht="30" x14ac:dyDescent="0.25">
      <c r="A109" s="426"/>
      <c r="B109" s="427"/>
      <c r="C109" s="198" t="s">
        <v>186</v>
      </c>
      <c r="D109" s="1151" t="s">
        <v>1483</v>
      </c>
      <c r="E109" s="196">
        <f t="shared" ref="E109:I109" si="31">SUM(E110:E112)</f>
        <v>27927</v>
      </c>
      <c r="F109" s="196">
        <f t="shared" si="31"/>
        <v>30134</v>
      </c>
      <c r="G109" s="196">
        <f t="shared" si="31"/>
        <v>31732</v>
      </c>
      <c r="H109" s="196">
        <f t="shared" si="31"/>
        <v>28884</v>
      </c>
      <c r="I109" s="196">
        <f t="shared" si="31"/>
        <v>29434</v>
      </c>
      <c r="J109" s="196">
        <f t="shared" ref="J109" si="32">SUM(J110:J112)</f>
        <v>29434</v>
      </c>
      <c r="K109" s="196">
        <f>SUM(K110)</f>
        <v>25658</v>
      </c>
      <c r="L109" s="196">
        <f t="shared" si="21"/>
        <v>87.171298498335261</v>
      </c>
      <c r="M109" s="191" t="s">
        <v>579</v>
      </c>
      <c r="N109" s="458" t="e">
        <f>SUM(#REF!,#REF!,#REF!,#REF!,#REF!,#REF!,#REF!,#REF!,#REF!,#REF!,#REF!,#REF!,#REF!,#REF!,#REF!,#REF!,#REF!,E9,#REF!,E66,E96,E126,#REF!)</f>
        <v>#REF!</v>
      </c>
      <c r="O109" s="458">
        <f>SUM(H12+H38+H63+H86+H109+H132)</f>
        <v>326749</v>
      </c>
      <c r="P109" s="458" t="e">
        <f>SUM(#REF!+#REF!+#REF!+#REF!+#REF!+#REF!+#REF!+#REF!)</f>
        <v>#REF!</v>
      </c>
      <c r="Q109" s="458" t="e">
        <f>SUM(#REF!+#REF!+#REF!+#REF!+#REF!+#REF!+#REF!+#REF!)</f>
        <v>#REF!</v>
      </c>
      <c r="R109" s="458" t="e">
        <f>SUM(#REF!+#REF!+#REF!+#REF!+#REF!+#REF!+#REF!+#REF!)</f>
        <v>#REF!</v>
      </c>
      <c r="S109" s="458">
        <f t="shared" si="30"/>
        <v>524305</v>
      </c>
      <c r="T109" s="458">
        <f t="shared" si="30"/>
        <v>551506</v>
      </c>
      <c r="U109" s="458">
        <f t="shared" si="30"/>
        <v>418146</v>
      </c>
      <c r="V109" s="309"/>
      <c r="W109" s="168"/>
      <c r="X109" s="168"/>
      <c r="Y109" s="438"/>
    </row>
    <row r="110" spans="1:25" ht="30.75" thickBot="1" x14ac:dyDescent="0.3">
      <c r="A110" s="178"/>
      <c r="B110" s="425"/>
      <c r="C110" s="244" t="s">
        <v>580</v>
      </c>
      <c r="D110" s="1152" t="s">
        <v>34</v>
      </c>
      <c r="E110" s="192">
        <v>19835</v>
      </c>
      <c r="F110" s="192">
        <v>20000</v>
      </c>
      <c r="G110" s="192">
        <v>20000</v>
      </c>
      <c r="H110" s="192">
        <v>20000</v>
      </c>
      <c r="I110" s="192">
        <v>22800</v>
      </c>
      <c r="J110" s="192">
        <v>22800</v>
      </c>
      <c r="K110" s="192">
        <v>25658</v>
      </c>
      <c r="L110" s="192">
        <f t="shared" si="21"/>
        <v>112.53508771929826</v>
      </c>
      <c r="M110" s="191" t="s">
        <v>643</v>
      </c>
      <c r="N110" s="458" t="e">
        <f>SUM(#REF!,#REF!,#REF!,#REF!,#REF!,#REF!,#REF!,#REF!,#REF!,#REF!,#REF!,#REF!,#REF!,#REF!,#REF!,#REF!,#REF!,E10,E37,#REF!,E68,E97,E127,#REF!)</f>
        <v>#REF!</v>
      </c>
      <c r="O110" s="458">
        <f>SUM(H13+H39+H64+H87+H110+H133)</f>
        <v>308410</v>
      </c>
      <c r="P110" s="458" t="e">
        <f>SUM(#REF!+#REF!+#REF!+#REF!+#REF!+#REF!+#REF!+#REF!)</f>
        <v>#REF!</v>
      </c>
      <c r="Q110" s="458" t="e">
        <f>SUM(#REF!+#REF!+#REF!+#REF!+#REF!+#REF!+#REF!+#REF!)</f>
        <v>#REF!</v>
      </c>
      <c r="R110" s="458" t="e">
        <f>SUM(#REF!+#REF!+#REF!+#REF!+#REF!+#REF!+#REF!+#REF!)</f>
        <v>#REF!</v>
      </c>
      <c r="S110" s="458">
        <f t="shared" si="30"/>
        <v>442256</v>
      </c>
      <c r="T110" s="458">
        <f t="shared" si="30"/>
        <v>442256</v>
      </c>
      <c r="U110" s="458">
        <f t="shared" si="30"/>
        <v>418146</v>
      </c>
      <c r="V110" s="309"/>
      <c r="W110" s="216"/>
    </row>
    <row r="111" spans="1:25" ht="17.25" thickBot="1" x14ac:dyDescent="0.3">
      <c r="A111" s="1236"/>
      <c r="B111" s="1237"/>
      <c r="C111" s="180" t="s">
        <v>56</v>
      </c>
      <c r="D111" s="1142" t="s">
        <v>1528</v>
      </c>
      <c r="E111" s="1238"/>
      <c r="F111" s="1238"/>
      <c r="G111" s="1238"/>
      <c r="H111" s="1238"/>
      <c r="I111" s="1238"/>
      <c r="J111" s="1238"/>
      <c r="K111" s="1239">
        <f>SUM(K112)</f>
        <v>13450</v>
      </c>
      <c r="L111" s="1238"/>
      <c r="M111" s="1242"/>
      <c r="N111" s="1243"/>
      <c r="O111" s="1243"/>
      <c r="P111" s="1243"/>
      <c r="Q111" s="1243"/>
      <c r="R111" s="1243"/>
      <c r="S111" s="1243"/>
      <c r="T111" s="1243"/>
      <c r="U111" s="1243"/>
      <c r="V111" s="309"/>
      <c r="W111" s="216"/>
    </row>
    <row r="112" spans="1:25" ht="30.75" thickBot="1" x14ac:dyDescent="0.3">
      <c r="A112" s="178"/>
      <c r="B112" s="425"/>
      <c r="C112" s="244" t="s">
        <v>1533</v>
      </c>
      <c r="D112" s="1144" t="s">
        <v>1529</v>
      </c>
      <c r="E112" s="192">
        <v>8092</v>
      </c>
      <c r="F112" s="192">
        <v>10134</v>
      </c>
      <c r="G112" s="192">
        <v>11732</v>
      </c>
      <c r="H112" s="192">
        <v>8884</v>
      </c>
      <c r="I112" s="192">
        <v>6634</v>
      </c>
      <c r="J112" s="192">
        <v>6634</v>
      </c>
      <c r="K112" s="192">
        <v>13450</v>
      </c>
      <c r="L112" s="192">
        <f t="shared" si="21"/>
        <v>202.74344287006332</v>
      </c>
      <c r="M112" s="191" t="s">
        <v>631</v>
      </c>
      <c r="N112" s="458" t="e">
        <f>SUM(#REF!,#REF!,#REF!,#REF!,#REF!,#REF!,#REF!,#REF!,#REF!,#REF!,#REF!,#REF!,#REF!,#REF!,#REF!,#REF!,#REF!,E11,E38,#REF!,E69,E99,E128,E201)</f>
        <v>#REF!</v>
      </c>
      <c r="O112" s="458">
        <f>SUM(H15+H41+H66+H89+H112+H135)</f>
        <v>18339</v>
      </c>
      <c r="P112" s="460" t="e">
        <f>SUM(#REF!+#REF!+#REF!+#REF!+#REF!+#REF!+#REF!+#REF!)</f>
        <v>#REF!</v>
      </c>
      <c r="Q112" s="460" t="e">
        <f>SUM(#REF!+#REF!+#REF!+#REF!+#REF!+#REF!+#REF!+#REF!)</f>
        <v>#REF!</v>
      </c>
      <c r="R112" s="460" t="e">
        <f>SUM(#REF!+#REF!+#REF!+#REF!+#REF!+#REF!+#REF!+#REF!)</f>
        <v>#REF!</v>
      </c>
      <c r="S112" s="460">
        <f>SUM(I15+I41+I66+I89+I112+I135+I160+I183)</f>
        <v>82049</v>
      </c>
      <c r="T112" s="460">
        <f>SUM(J15+J41+J66+J89+J112+J135+J160+J183)</f>
        <v>109250</v>
      </c>
      <c r="U112" s="460">
        <f>SUM(K15+K41+K66+K89+K112+K135+K160+K183)</f>
        <v>104800</v>
      </c>
      <c r="V112" s="216"/>
      <c r="W112" s="216"/>
    </row>
    <row r="113" spans="1:25" ht="17.25" thickBot="1" x14ac:dyDescent="0.3">
      <c r="A113" s="1236"/>
      <c r="B113" s="1237"/>
      <c r="C113" s="180" t="s">
        <v>227</v>
      </c>
      <c r="D113" s="1142" t="s">
        <v>1496</v>
      </c>
      <c r="E113" s="1238"/>
      <c r="F113" s="1238"/>
      <c r="G113" s="1238"/>
      <c r="H113" s="1238"/>
      <c r="I113" s="1238"/>
      <c r="J113" s="1238"/>
      <c r="K113" s="1238"/>
      <c r="L113" s="1238"/>
      <c r="M113" s="1242"/>
      <c r="N113" s="1243"/>
      <c r="O113" s="1243"/>
      <c r="P113" s="1246"/>
      <c r="Q113" s="1246"/>
      <c r="R113" s="1246"/>
      <c r="S113" s="1246"/>
      <c r="T113" s="1246"/>
      <c r="U113" s="1246"/>
      <c r="V113" s="216"/>
      <c r="W113" s="216"/>
    </row>
    <row r="114" spans="1:25" ht="17.25" thickBot="1" x14ac:dyDescent="0.3">
      <c r="A114" s="178"/>
      <c r="B114" s="425"/>
      <c r="C114" s="180" t="s">
        <v>228</v>
      </c>
      <c r="D114" s="1142" t="s">
        <v>1530</v>
      </c>
      <c r="E114" s="192"/>
      <c r="F114" s="192"/>
      <c r="G114" s="192"/>
      <c r="H114" s="192">
        <v>0</v>
      </c>
      <c r="I114" s="192"/>
      <c r="J114" s="192">
        <v>665</v>
      </c>
      <c r="K114" s="192"/>
      <c r="L114" s="192">
        <f t="shared" si="21"/>
        <v>0</v>
      </c>
      <c r="M114" s="191" t="s">
        <v>632</v>
      </c>
      <c r="N114" s="458" t="e">
        <f>SUM(#REF!,#REF!,#REF!,#REF!,#REF!,#REF!,#REF!,#REF!,#REF!,#REF!,#REF!,#REF!,#REF!,#REF!,#REF!,#REF!,E12,E39,#REF!,E72,E100,E129,E202)</f>
        <v>#REF!</v>
      </c>
      <c r="O114" s="458">
        <f>SUM(H16+H43+H68+H90+H114+H136)</f>
        <v>0</v>
      </c>
      <c r="P114" s="460" t="e">
        <f>SUM(#REF!+#REF!+#REF!+#REF!+#REF!+#REF!+#REF!+#REF!)</f>
        <v>#REF!</v>
      </c>
      <c r="Q114" s="460" t="e">
        <f>SUM(#REF!+#REF!+#REF!+#REF!+#REF!+#REF!+#REF!+#REF!)</f>
        <v>#REF!</v>
      </c>
      <c r="R114" s="460" t="e">
        <f>SUM(#REF!+#REF!+#REF!+#REF!+#REF!+#REF!+#REF!+#REF!)</f>
        <v>#REF!</v>
      </c>
      <c r="S114" s="460">
        <f>SUM(I16+I43+I68+I90+I114+I136+I161+I185)</f>
        <v>0</v>
      </c>
      <c r="T114" s="460">
        <f>SUM(J16+J43+J68+J90+J114+J136+J161+J185)</f>
        <v>3694</v>
      </c>
      <c r="U114" s="460">
        <f>SUM(K16+K43+K68+K90+K114+K136+K161+K185)</f>
        <v>0</v>
      </c>
      <c r="W114" s="216"/>
      <c r="X114" s="216"/>
    </row>
    <row r="115" spans="1:25" ht="16.5" x14ac:dyDescent="0.25">
      <c r="A115" s="178"/>
      <c r="B115" s="425"/>
      <c r="C115" s="180" t="s">
        <v>657</v>
      </c>
      <c r="D115" s="430" t="s">
        <v>599</v>
      </c>
      <c r="E115" s="431">
        <f t="shared" ref="E115:I115" si="33">SUM(E106+E108+E107)</f>
        <v>27927</v>
      </c>
      <c r="F115" s="431">
        <f t="shared" si="33"/>
        <v>30134</v>
      </c>
      <c r="G115" s="431">
        <f t="shared" si="33"/>
        <v>31734</v>
      </c>
      <c r="H115" s="431">
        <f t="shared" si="33"/>
        <v>28884</v>
      </c>
      <c r="I115" s="431">
        <f t="shared" si="33"/>
        <v>29434</v>
      </c>
      <c r="J115" s="431">
        <f>SUM(J106+J108+J107)</f>
        <v>30099</v>
      </c>
      <c r="K115" s="431">
        <f>SUM(K106+K108+K107)+K111</f>
        <v>39108</v>
      </c>
      <c r="L115" s="431">
        <f t="shared" si="21"/>
        <v>129.93122695106149</v>
      </c>
      <c r="M115" s="236" t="s">
        <v>633</v>
      </c>
      <c r="N115" s="458"/>
      <c r="O115" s="458"/>
      <c r="P115" s="458"/>
      <c r="Q115" s="458" t="e">
        <f>#REF!</f>
        <v>#REF!</v>
      </c>
      <c r="R115" s="458" t="e">
        <f>#REF!</f>
        <v>#REF!</v>
      </c>
      <c r="S115" s="458">
        <f>I18</f>
        <v>0</v>
      </c>
      <c r="T115" s="458">
        <f>J18</f>
        <v>0</v>
      </c>
      <c r="U115" s="458">
        <f>K18</f>
        <v>0</v>
      </c>
      <c r="W115" s="216"/>
    </row>
    <row r="116" spans="1:25" ht="16.5" customHeight="1" thickBot="1" x14ac:dyDescent="0.3">
      <c r="A116" s="178"/>
      <c r="B116" s="420" t="s">
        <v>3</v>
      </c>
      <c r="C116" s="245"/>
      <c r="D116" s="1561" t="s">
        <v>82</v>
      </c>
      <c r="E116" s="1561"/>
      <c r="F116" s="1561"/>
      <c r="G116" s="1561"/>
      <c r="H116" s="1561"/>
      <c r="I116" s="192"/>
      <c r="J116" s="192"/>
      <c r="K116" s="237"/>
      <c r="L116" s="192"/>
      <c r="M116" s="236" t="s">
        <v>231</v>
      </c>
      <c r="Q116" s="458" t="e">
        <f>#REF!+#REF!</f>
        <v>#REF!</v>
      </c>
      <c r="R116" s="458" t="e">
        <f>#REF!+#REF!</f>
        <v>#REF!</v>
      </c>
      <c r="S116" s="458">
        <f>I19+I91</f>
        <v>0</v>
      </c>
      <c r="T116" s="458">
        <f>J19+J91</f>
        <v>24012</v>
      </c>
      <c r="U116" s="458">
        <f>K19+K91</f>
        <v>0</v>
      </c>
      <c r="V116" s="216"/>
      <c r="W116" s="216"/>
    </row>
    <row r="117" spans="1:25" ht="16.5" customHeight="1" thickBot="1" x14ac:dyDescent="0.3">
      <c r="A117" s="178"/>
      <c r="B117" s="420"/>
      <c r="C117" s="180" t="s">
        <v>4</v>
      </c>
      <c r="D117" s="10" t="s">
        <v>1531</v>
      </c>
      <c r="E117" s="423"/>
      <c r="F117" s="423"/>
      <c r="G117" s="423"/>
      <c r="H117" s="423"/>
      <c r="I117" s="192"/>
      <c r="J117" s="192"/>
      <c r="K117" s="237">
        <f>SUM(K118:K120)</f>
        <v>38608</v>
      </c>
      <c r="L117" s="192"/>
      <c r="M117" s="236" t="s">
        <v>1021</v>
      </c>
      <c r="Q117" s="458"/>
      <c r="R117" s="458"/>
      <c r="S117" s="458">
        <f>I20</f>
        <v>0</v>
      </c>
      <c r="T117" s="458">
        <f>J20</f>
        <v>0</v>
      </c>
      <c r="U117" s="458">
        <f>K20</f>
        <v>0</v>
      </c>
      <c r="V117" s="216"/>
      <c r="W117" s="216"/>
    </row>
    <row r="118" spans="1:25" ht="16.5" x14ac:dyDescent="0.25">
      <c r="A118" s="178"/>
      <c r="B118" s="425"/>
      <c r="C118" s="245" t="s">
        <v>4</v>
      </c>
      <c r="D118" s="191" t="s">
        <v>272</v>
      </c>
      <c r="E118" s="192">
        <v>17861</v>
      </c>
      <c r="F118" s="192">
        <v>18148</v>
      </c>
      <c r="G118" s="192">
        <v>19341</v>
      </c>
      <c r="H118" s="192">
        <v>17173</v>
      </c>
      <c r="I118" s="192">
        <v>19012</v>
      </c>
      <c r="J118" s="192">
        <v>19012</v>
      </c>
      <c r="K118" s="192">
        <v>19916</v>
      </c>
      <c r="L118" s="192">
        <f t="shared" si="21"/>
        <v>104.75489164738062</v>
      </c>
      <c r="M118" s="430" t="s">
        <v>599</v>
      </c>
      <c r="N118" s="461" t="e">
        <f>SUM(N105:N108)</f>
        <v>#REF!</v>
      </c>
      <c r="O118" s="461">
        <f>SUM(O105+O106+O108)</f>
        <v>337564</v>
      </c>
      <c r="P118" s="461" t="e">
        <f>SUM(P105+P106+P108)</f>
        <v>#REF!</v>
      </c>
      <c r="Q118" s="461" t="e">
        <f>SUM(Q105+Q106+Q108)</f>
        <v>#REF!</v>
      </c>
      <c r="R118" s="461" t="e">
        <f>SUM(R105+R106+R108+R115+R116)</f>
        <v>#REF!</v>
      </c>
      <c r="S118" s="461">
        <f>SUM(S105+S106+S108+S115+S116+S107)</f>
        <v>543455</v>
      </c>
      <c r="T118" s="461">
        <f t="shared" ref="T118" si="34">SUM(T105+T106+T108+T115+T116+T107)</f>
        <v>601767</v>
      </c>
      <c r="U118" s="461">
        <f>SUM(U105+U106+U108+U115+U116+U107)+U117</f>
        <v>436057</v>
      </c>
      <c r="W118" s="216"/>
    </row>
    <row r="119" spans="1:25" ht="16.5" x14ac:dyDescent="0.25">
      <c r="A119" s="178"/>
      <c r="B119" s="425"/>
      <c r="C119" s="245" t="s">
        <v>6</v>
      </c>
      <c r="D119" s="191" t="s">
        <v>273</v>
      </c>
      <c r="E119" s="192">
        <v>5645</v>
      </c>
      <c r="F119" s="192">
        <v>5679</v>
      </c>
      <c r="G119" s="192">
        <v>6008</v>
      </c>
      <c r="H119" s="192">
        <v>5372</v>
      </c>
      <c r="I119" s="192">
        <v>5190</v>
      </c>
      <c r="J119" s="192">
        <v>5190</v>
      </c>
      <c r="K119" s="192">
        <v>5165</v>
      </c>
      <c r="L119" s="192">
        <f t="shared" si="21"/>
        <v>99.518304431599219</v>
      </c>
      <c r="M119" s="433" t="s">
        <v>82</v>
      </c>
      <c r="N119" s="458"/>
      <c r="O119" s="458"/>
      <c r="P119" s="460"/>
      <c r="Q119" s="460"/>
      <c r="R119" s="460"/>
      <c r="S119" s="460"/>
      <c r="T119" s="460"/>
      <c r="U119" s="460"/>
      <c r="W119" s="216"/>
      <c r="X119" s="216"/>
      <c r="Y119" s="216"/>
    </row>
    <row r="120" spans="1:25" ht="17.25" thickBot="1" x14ac:dyDescent="0.3">
      <c r="A120" s="178"/>
      <c r="B120" s="425"/>
      <c r="C120" s="245" t="s">
        <v>7</v>
      </c>
      <c r="D120" s="191" t="s">
        <v>86</v>
      </c>
      <c r="E120" s="192">
        <v>4421</v>
      </c>
      <c r="F120" s="192">
        <v>6307</v>
      </c>
      <c r="G120" s="192">
        <v>6385</v>
      </c>
      <c r="H120" s="192">
        <v>6339</v>
      </c>
      <c r="I120" s="192">
        <v>5232</v>
      </c>
      <c r="J120" s="192">
        <v>5232</v>
      </c>
      <c r="K120" s="192">
        <v>13527</v>
      </c>
      <c r="L120" s="192">
        <f t="shared" si="21"/>
        <v>258.54357798165142</v>
      </c>
      <c r="M120" s="236" t="s">
        <v>272</v>
      </c>
      <c r="N120" s="462" t="e">
        <f>SUM(E205+E132+E103+E76+#REF!+E44+E16+#REF!+#REF!+#REF!+#REF!+#REF!+#REF!+#REF!+#REF!+#REF!+#REF!+#REF!+#REF!+#REF!+#REF!+#REF!+#REF!+#REF!+#REF!+#REF!+#REF!+#REF!+#REF!+#REF!+#REF!+#REF!+#REF!+#REF!+#REF!+#REF!+#REF!+#REF!+#REF!+#REF!+#REF!+#REF!+#REF!+#REF!+#REF!+#REF!)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O120" s="462">
        <f>SUM(H24+H47+H72+H95+H118+H141)</f>
        <v>132408</v>
      </c>
      <c r="P120" s="462" t="e">
        <f>SUM(#REF!+#REF!+#REF!+#REF!+#REF!+#REF!+#REF!+#REF!)</f>
        <v>#REF!</v>
      </c>
      <c r="Q120" s="462" t="e">
        <f>SUM(#REF!+#REF!+#REF!+#REF!+#REF!+#REF!+#REF!+#REF!)</f>
        <v>#REF!</v>
      </c>
      <c r="R120" s="462" t="e">
        <f>SUM(#REF!+#REF!+#REF!+#REF!+#REF!+#REF!+#REF!+#REF!)</f>
        <v>#REF!</v>
      </c>
      <c r="S120" s="462">
        <f>SUM(I24+I47+I72+I95+I118+I141+I166+I189)</f>
        <v>168529</v>
      </c>
      <c r="T120" s="462">
        <f>SUM(J24+J47+J72+J95+J118+J141+J166+J189)</f>
        <v>192424</v>
      </c>
      <c r="U120" s="462">
        <f>SUM(K24+K47+K72+K95+K118+K141+K166+K189)</f>
        <v>198791</v>
      </c>
    </row>
    <row r="121" spans="1:25" ht="17.25" thickBot="1" x14ac:dyDescent="0.3">
      <c r="A121" s="1236"/>
      <c r="B121" s="1237"/>
      <c r="C121" s="180" t="s">
        <v>6</v>
      </c>
      <c r="D121" s="1156" t="s">
        <v>1532</v>
      </c>
      <c r="E121" s="1238"/>
      <c r="F121" s="1238"/>
      <c r="G121" s="1238"/>
      <c r="H121" s="1238"/>
      <c r="I121" s="1238"/>
      <c r="J121" s="1238"/>
      <c r="K121" s="1239">
        <f>SUM(K122:K124)</f>
        <v>500</v>
      </c>
      <c r="L121" s="1238"/>
      <c r="M121" s="1244"/>
      <c r="N121" s="1245"/>
      <c r="O121" s="1245"/>
      <c r="P121" s="1245"/>
      <c r="Q121" s="1245"/>
      <c r="R121" s="1245"/>
      <c r="S121" s="1245"/>
      <c r="T121" s="1245"/>
      <c r="U121" s="1245"/>
    </row>
    <row r="122" spans="1:25" ht="16.5" x14ac:dyDescent="0.25">
      <c r="A122" s="1236"/>
      <c r="B122" s="1237"/>
      <c r="C122" s="245" t="s">
        <v>537</v>
      </c>
      <c r="D122" s="191" t="s">
        <v>607</v>
      </c>
      <c r="E122" s="1238"/>
      <c r="F122" s="1238"/>
      <c r="G122" s="1238"/>
      <c r="H122" s="1238"/>
      <c r="I122" s="1238"/>
      <c r="J122" s="1238"/>
      <c r="K122" s="1238"/>
      <c r="L122" s="1238"/>
      <c r="M122" s="1244"/>
      <c r="N122" s="1245"/>
      <c r="O122" s="1245"/>
      <c r="P122" s="1245"/>
      <c r="Q122" s="1245"/>
      <c r="R122" s="1245"/>
      <c r="S122" s="1245"/>
      <c r="T122" s="1245"/>
      <c r="U122" s="1245"/>
    </row>
    <row r="123" spans="1:25" ht="16.5" x14ac:dyDescent="0.25">
      <c r="A123" s="178"/>
      <c r="B123" s="425"/>
      <c r="C123" s="245" t="s">
        <v>786</v>
      </c>
      <c r="D123" s="191" t="s">
        <v>608</v>
      </c>
      <c r="E123" s="192"/>
      <c r="F123" s="192"/>
      <c r="G123" s="192"/>
      <c r="H123" s="192"/>
      <c r="I123" s="192"/>
      <c r="J123" s="192">
        <v>665</v>
      </c>
      <c r="K123" s="192">
        <v>500</v>
      </c>
      <c r="L123" s="192">
        <f t="shared" si="21"/>
        <v>75.187969924812023</v>
      </c>
      <c r="M123" s="236" t="s">
        <v>273</v>
      </c>
      <c r="N123" s="458"/>
      <c r="O123" s="458">
        <f>SUM(H25+H48+H73+H96+H119+H142)</f>
        <v>40789</v>
      </c>
      <c r="P123" s="458" t="e">
        <f>SUM(#REF!+#REF!+#REF!+#REF!+#REF!+#REF!+#REF!+#REF!)</f>
        <v>#REF!</v>
      </c>
      <c r="Q123" s="458" t="e">
        <f>SUM(#REF!+#REF!+#REF!+#REF!+#REF!+#REF!+#REF!+#REF!)</f>
        <v>#REF!</v>
      </c>
      <c r="R123" s="458" t="e">
        <f>SUM(#REF!+#REF!+#REF!+#REF!+#REF!+#REF!+#REF!+#REF!)</f>
        <v>#REF!</v>
      </c>
      <c r="S123" s="458">
        <f>SUM(I25+I48+I73+I96+I119+I142+I167+I190)</f>
        <v>49730</v>
      </c>
      <c r="T123" s="458">
        <f>SUM(J25+J48+J73+J96+J119+J142+J167+J190)</f>
        <v>49730</v>
      </c>
      <c r="U123" s="458">
        <f>SUM(K25+K48+K73+K96+K119+K142+K167+K190)</f>
        <v>51225</v>
      </c>
    </row>
    <row r="124" spans="1:25" ht="16.5" x14ac:dyDescent="0.25">
      <c r="A124" s="1236"/>
      <c r="B124" s="1237"/>
      <c r="C124" s="245" t="s">
        <v>787</v>
      </c>
      <c r="D124" s="191" t="s">
        <v>1500</v>
      </c>
      <c r="E124" s="1238"/>
      <c r="F124" s="1238"/>
      <c r="G124" s="1238"/>
      <c r="H124" s="1238"/>
      <c r="I124" s="1238"/>
      <c r="J124" s="1238"/>
      <c r="K124" s="1238"/>
      <c r="L124" s="1238"/>
      <c r="M124" s="1244"/>
      <c r="N124" s="1243"/>
      <c r="O124" s="1243"/>
      <c r="P124" s="1243"/>
      <c r="Q124" s="1243"/>
      <c r="R124" s="1243"/>
      <c r="S124" s="1243"/>
      <c r="T124" s="1243"/>
      <c r="U124" s="1243"/>
    </row>
    <row r="125" spans="1:25" ht="16.5" x14ac:dyDescent="0.25">
      <c r="A125" s="178"/>
      <c r="B125" s="425"/>
      <c r="C125" s="245"/>
      <c r="D125" s="432" t="s">
        <v>610</v>
      </c>
      <c r="E125" s="431">
        <f t="shared" ref="E125:J125" si="35">SUM(E118:E123)</f>
        <v>27927</v>
      </c>
      <c r="F125" s="431">
        <f t="shared" si="35"/>
        <v>30134</v>
      </c>
      <c r="G125" s="431">
        <f t="shared" si="35"/>
        <v>31734</v>
      </c>
      <c r="H125" s="431">
        <f t="shared" si="35"/>
        <v>28884</v>
      </c>
      <c r="I125" s="431">
        <f t="shared" si="35"/>
        <v>29434</v>
      </c>
      <c r="J125" s="431">
        <f t="shared" si="35"/>
        <v>30099</v>
      </c>
      <c r="K125" s="431">
        <f>SUM(K117+K121)</f>
        <v>39108</v>
      </c>
      <c r="L125" s="431">
        <f t="shared" si="21"/>
        <v>129.93122695106149</v>
      </c>
      <c r="M125" s="236" t="s">
        <v>86</v>
      </c>
      <c r="N125" s="458"/>
      <c r="O125" s="458">
        <f>SUM(H143+H120+H97+H74+H49+H26)</f>
        <v>164367</v>
      </c>
      <c r="P125" s="458" t="e">
        <f>SUM(#REF!+#REF!+#REF!+#REF!+#REF!+#REF!+#REF!+#REF!)</f>
        <v>#REF!</v>
      </c>
      <c r="Q125" s="458" t="e">
        <f>SUM(#REF!+#REF!+#REF!+#REF!+#REF!+#REF!+#REF!+#REF!)</f>
        <v>#REF!</v>
      </c>
      <c r="R125" s="458" t="e">
        <f>SUM(#REF!+#REF!+#REF!+#REF!+#REF!+#REF!+#REF!+#REF!)</f>
        <v>#REF!</v>
      </c>
      <c r="S125" s="458">
        <f>SUM(I143+I120+I97+I74+I49+I26+I168+I191)</f>
        <v>325196</v>
      </c>
      <c r="T125" s="458">
        <f>SUM(J143+J120+J97+J74+J49+J26+J168+J191)</f>
        <v>355919</v>
      </c>
      <c r="U125" s="458">
        <f>SUM(K143+K120+K97+K74+K49+K26+K168+K191)</f>
        <v>287841</v>
      </c>
      <c r="W125" s="216"/>
      <c r="X125" s="216"/>
      <c r="Y125" s="216"/>
    </row>
    <row r="126" spans="1:25" ht="16.5" x14ac:dyDescent="0.25">
      <c r="A126" s="178"/>
      <c r="B126" s="420" t="s">
        <v>12</v>
      </c>
      <c r="C126" s="174"/>
      <c r="D126" s="433" t="s">
        <v>611</v>
      </c>
      <c r="E126" s="300">
        <v>7.5</v>
      </c>
      <c r="F126" s="300">
        <v>7.5</v>
      </c>
      <c r="G126" s="300">
        <v>7.5</v>
      </c>
      <c r="H126" s="300">
        <v>7</v>
      </c>
      <c r="I126" s="300">
        <v>7</v>
      </c>
      <c r="J126" s="300">
        <v>7</v>
      </c>
      <c r="K126" s="300">
        <v>7</v>
      </c>
      <c r="L126" s="300"/>
      <c r="M126" s="236" t="s">
        <v>607</v>
      </c>
      <c r="N126" s="462" t="e">
        <f>SUM(#REF!,#REF!,#REF!,#REF!,#REF!,#REF!,#REF!,#REF!,#REF!,#REF!,#REF!,#REF!,#REF!,#REF!,E24,E48,#REF!,E79,E106,E136,E209,#REF!)</f>
        <v>#REF!</v>
      </c>
      <c r="O126" s="462">
        <f>SUM(H28+H51+H76+H99)</f>
        <v>0</v>
      </c>
      <c r="P126" s="462" t="e">
        <f>SUM(#REF!+#REF!+#REF!+#REF!+#REF!+#REF!)</f>
        <v>#REF!</v>
      </c>
      <c r="Q126" s="462" t="e">
        <f>SUM(#REF!+#REF!+#REF!+#REF!+#REF!+#REF!)</f>
        <v>#REF!</v>
      </c>
      <c r="R126" s="462" t="e">
        <f>SUM(#REF!+#REF!+#REF!+#REF!+#REF!+#REF!)</f>
        <v>#REF!</v>
      </c>
      <c r="S126" s="462">
        <f>SUM(I28+I51+I76+I99+I170+I193)</f>
        <v>0</v>
      </c>
      <c r="T126" s="462">
        <f>SUM(J28+J51+J76+J99+J170+J193)</f>
        <v>0</v>
      </c>
      <c r="U126" s="462">
        <f>SUM(K28+K51+K76+K99+K170+K193)</f>
        <v>0</v>
      </c>
    </row>
    <row r="127" spans="1:25" ht="17.25" x14ac:dyDescent="0.3">
      <c r="A127" s="419"/>
      <c r="B127" s="420"/>
      <c r="C127" s="173"/>
      <c r="D127" s="449" t="s">
        <v>644</v>
      </c>
      <c r="E127" s="450"/>
      <c r="F127" s="450"/>
      <c r="G127" s="450"/>
      <c r="H127" s="450"/>
      <c r="I127" s="451"/>
      <c r="J127" s="451"/>
      <c r="K127" s="451"/>
      <c r="L127" s="451"/>
      <c r="M127" s="236" t="s">
        <v>608</v>
      </c>
      <c r="N127" s="462" t="e">
        <f>SUM(#REF!,#REF!,#REF!,#REF!,#REF!,#REF!,#REF!,#REF!,#REF!,#REF!,#REF!,#REF!,#REF!,#REF!,E25,E49,#REF!,E80,E107,E138,E198,#REF!)</f>
        <v>#REF!</v>
      </c>
      <c r="O127" s="462">
        <f>SUM(H146+H123+H100+H77+H52+H29)</f>
        <v>0</v>
      </c>
      <c r="P127" s="462" t="e">
        <f>SUM(#REF!+#REF!+#REF!+#REF!+#REF!+#REF!+#REF!+#REF!)</f>
        <v>#REF!</v>
      </c>
      <c r="Q127" s="462" t="e">
        <f>SUM(#REF!+#REF!+#REF!+#REF!+#REF!+#REF!+#REF!+#REF!)</f>
        <v>#REF!</v>
      </c>
      <c r="R127" s="462" t="e">
        <f>SUM(#REF!+#REF!+#REF!+#REF!+#REF!+#REF!+#REF!+#REF!)</f>
        <v>#REF!</v>
      </c>
      <c r="S127" s="462">
        <f>SUM(I146+I123+I100+I77+I52+I29+I171+I194)</f>
        <v>0</v>
      </c>
      <c r="T127" s="462">
        <f>SUM(J146+J123+J100+J77+J52+J29+J171+J194)</f>
        <v>3694</v>
      </c>
      <c r="U127" s="462">
        <f>SUM(K146+K123+K100+K77+K52+K29+K171+K194)</f>
        <v>3000</v>
      </c>
    </row>
    <row r="128" spans="1:25" ht="16.5" customHeight="1" thickBot="1" x14ac:dyDescent="0.3">
      <c r="A128" s="178"/>
      <c r="B128" s="420" t="s">
        <v>2</v>
      </c>
      <c r="C128" s="244"/>
      <c r="D128" s="1561" t="s">
        <v>81</v>
      </c>
      <c r="E128" s="1561"/>
      <c r="F128" s="1561"/>
      <c r="G128" s="1561"/>
      <c r="H128" s="1561"/>
      <c r="I128" s="192"/>
      <c r="J128" s="192"/>
      <c r="K128" s="192"/>
      <c r="L128" s="192"/>
      <c r="M128" s="236" t="s">
        <v>634</v>
      </c>
      <c r="N128" s="462" t="e">
        <f>SUM(#REF!,#REF!,#REF!,#REF!,#REF!,#REF!,#REF!,#REF!,#REF!,#REF!,#REF!,#REF!,#REF!,#REF!,E26,E52,#REF!,E81,E108,E139,E199,#REF!)</f>
        <v>#REF!</v>
      </c>
      <c r="O128" s="462"/>
      <c r="P128" s="462" t="e">
        <f>#REF!+#REF!+#REF!+#REF!+#REF!+#REF!</f>
        <v>#REF!</v>
      </c>
      <c r="Q128" s="462" t="e">
        <f>#REF!+#REF!+#REF!+#REF!+#REF!+#REF!</f>
        <v>#REF!</v>
      </c>
      <c r="R128" s="462" t="e">
        <f>#REF!+#REF!+#REF!+#REF!+#REF!+#REF!</f>
        <v>#REF!</v>
      </c>
      <c r="S128" s="462">
        <f>I30+I53+I78+I101+I172+I195</f>
        <v>0</v>
      </c>
      <c r="T128" s="462">
        <f>J30+J53+J78+J101+J172+J195</f>
        <v>0</v>
      </c>
      <c r="U128" s="462">
        <f>K30+K53+K78+K101+K172+K195</f>
        <v>0</v>
      </c>
    </row>
    <row r="129" spans="1:23" ht="17.25" thickBot="1" x14ac:dyDescent="0.3">
      <c r="A129" s="178"/>
      <c r="B129" s="425"/>
      <c r="C129" s="173" t="s">
        <v>50</v>
      </c>
      <c r="D129" s="1142" t="s">
        <v>1760</v>
      </c>
      <c r="E129" s="192"/>
      <c r="F129" s="192"/>
      <c r="G129" s="192">
        <v>2</v>
      </c>
      <c r="H129" s="202">
        <v>0</v>
      </c>
      <c r="I129" s="192">
        <v>1800</v>
      </c>
      <c r="J129" s="192">
        <v>1800</v>
      </c>
      <c r="K129" s="237">
        <v>2400</v>
      </c>
      <c r="L129" s="192">
        <f t="shared" si="21"/>
        <v>133.33333333333331</v>
      </c>
      <c r="M129" s="432" t="s">
        <v>645</v>
      </c>
      <c r="N129" s="431" t="e">
        <f>SUM(N120,#REF!,#REF!,#REF!,N126,N127,N128)</f>
        <v>#REF!</v>
      </c>
      <c r="O129" s="431"/>
      <c r="P129" s="431"/>
      <c r="Q129" s="431"/>
      <c r="R129" s="431"/>
      <c r="S129" s="431"/>
      <c r="T129" s="431"/>
      <c r="U129" s="431"/>
    </row>
    <row r="130" spans="1:23" ht="17.25" thickBot="1" x14ac:dyDescent="0.3">
      <c r="A130" s="178"/>
      <c r="B130" s="425"/>
      <c r="C130" s="173" t="s">
        <v>52</v>
      </c>
      <c r="D130" s="1142" t="s">
        <v>1526</v>
      </c>
      <c r="E130" s="192">
        <v>0</v>
      </c>
      <c r="F130" s="192">
        <v>0</v>
      </c>
      <c r="G130" s="192">
        <v>0</v>
      </c>
      <c r="H130" s="202"/>
      <c r="I130" s="192"/>
      <c r="J130" s="192"/>
      <c r="K130" s="192"/>
      <c r="L130" s="192" t="e">
        <f t="shared" si="21"/>
        <v>#DIV/0!</v>
      </c>
      <c r="M130" s="432" t="s">
        <v>610</v>
      </c>
      <c r="N130" s="431" t="e">
        <f>SUM(N123,#REF!,#REF!,#REF!,N127,N128,N129)</f>
        <v>#REF!</v>
      </c>
      <c r="O130" s="431">
        <f t="shared" ref="O130:U130" si="36">SUM(O120:O129)</f>
        <v>337564</v>
      </c>
      <c r="P130" s="431" t="e">
        <f t="shared" si="36"/>
        <v>#REF!</v>
      </c>
      <c r="Q130" s="431" t="e">
        <f t="shared" si="36"/>
        <v>#REF!</v>
      </c>
      <c r="R130" s="431" t="e">
        <f t="shared" si="36"/>
        <v>#REF!</v>
      </c>
      <c r="S130" s="431">
        <f t="shared" si="36"/>
        <v>543455</v>
      </c>
      <c r="T130" s="431">
        <f t="shared" si="36"/>
        <v>601767</v>
      </c>
      <c r="U130" s="431">
        <f t="shared" si="36"/>
        <v>540857</v>
      </c>
      <c r="W130" s="216"/>
    </row>
    <row r="131" spans="1:23" ht="29.25" thickBot="1" x14ac:dyDescent="0.3">
      <c r="A131" s="178"/>
      <c r="B131" s="425"/>
      <c r="C131" s="173" t="s">
        <v>54</v>
      </c>
      <c r="D131" s="1142" t="s">
        <v>1527</v>
      </c>
      <c r="E131" s="192">
        <f t="shared" ref="E131:I131" si="37">SUM(E132+E136)</f>
        <v>27927</v>
      </c>
      <c r="F131" s="192">
        <f t="shared" si="37"/>
        <v>30134</v>
      </c>
      <c r="G131" s="192">
        <f t="shared" si="37"/>
        <v>31732</v>
      </c>
      <c r="H131" s="202">
        <f t="shared" si="37"/>
        <v>0</v>
      </c>
      <c r="I131" s="192">
        <f t="shared" si="37"/>
        <v>26394</v>
      </c>
      <c r="J131" s="192">
        <f t="shared" ref="J131:K131" si="38">SUM(J132+J136)</f>
        <v>28407</v>
      </c>
      <c r="K131" s="237">
        <f t="shared" si="38"/>
        <v>0</v>
      </c>
      <c r="L131" s="192">
        <f t="shared" si="21"/>
        <v>0</v>
      </c>
      <c r="M131" s="463" t="s">
        <v>646</v>
      </c>
      <c r="O131" s="216">
        <f>SUM(H200)</f>
        <v>69</v>
      </c>
      <c r="P131" s="216" t="e">
        <f>SUM(#REF!)</f>
        <v>#REF!</v>
      </c>
      <c r="Q131" s="216" t="e">
        <f>SUM(#REF!)</f>
        <v>#REF!</v>
      </c>
      <c r="R131" s="216" t="e">
        <f>SUM(#REF!)</f>
        <v>#REF!</v>
      </c>
      <c r="S131" s="216">
        <f>SUM(I200)</f>
        <v>73</v>
      </c>
      <c r="T131" s="216">
        <f t="shared" ref="T131:U131" si="39">SUM(J200)</f>
        <v>73</v>
      </c>
      <c r="U131" s="216">
        <f t="shared" si="39"/>
        <v>73</v>
      </c>
    </row>
    <row r="132" spans="1:23" ht="30" x14ac:dyDescent="0.25">
      <c r="A132" s="426"/>
      <c r="B132" s="427"/>
      <c r="C132" s="198" t="s">
        <v>186</v>
      </c>
      <c r="D132" s="1151" t="s">
        <v>1483</v>
      </c>
      <c r="E132" s="196">
        <f t="shared" ref="E132:I132" si="40">SUM(E133:E135)</f>
        <v>27927</v>
      </c>
      <c r="F132" s="196">
        <f t="shared" si="40"/>
        <v>30134</v>
      </c>
      <c r="G132" s="196">
        <f t="shared" si="40"/>
        <v>31732</v>
      </c>
      <c r="H132" s="452">
        <f t="shared" si="40"/>
        <v>0</v>
      </c>
      <c r="I132" s="196">
        <f t="shared" si="40"/>
        <v>26394</v>
      </c>
      <c r="J132" s="196">
        <f t="shared" ref="J132" si="41">SUM(J133:J135)</f>
        <v>26394</v>
      </c>
      <c r="K132" s="196">
        <f>SUM(K133)</f>
        <v>0</v>
      </c>
      <c r="L132" s="196">
        <f t="shared" si="21"/>
        <v>0</v>
      </c>
    </row>
    <row r="133" spans="1:23" ht="30.75" thickBot="1" x14ac:dyDescent="0.3">
      <c r="A133" s="178"/>
      <c r="B133" s="425"/>
      <c r="C133" s="244" t="s">
        <v>580</v>
      </c>
      <c r="D133" s="1152" t="s">
        <v>34</v>
      </c>
      <c r="E133" s="192">
        <v>19835</v>
      </c>
      <c r="F133" s="192">
        <v>20000</v>
      </c>
      <c r="G133" s="192">
        <v>20000</v>
      </c>
      <c r="H133" s="202"/>
      <c r="I133" s="192"/>
      <c r="J133" s="192"/>
      <c r="K133" s="192">
        <v>0</v>
      </c>
      <c r="L133" s="192" t="e">
        <f t="shared" si="21"/>
        <v>#DIV/0!</v>
      </c>
    </row>
    <row r="134" spans="1:23" ht="17.25" thickBot="1" x14ac:dyDescent="0.3">
      <c r="A134" s="1236"/>
      <c r="B134" s="1237"/>
      <c r="C134" s="180" t="s">
        <v>56</v>
      </c>
      <c r="D134" s="1142" t="s">
        <v>1528</v>
      </c>
      <c r="E134" s="1238"/>
      <c r="F134" s="1238"/>
      <c r="G134" s="1238"/>
      <c r="H134" s="202"/>
      <c r="I134" s="1238"/>
      <c r="J134" s="1238"/>
      <c r="K134" s="1239">
        <f>SUM(K135)</f>
        <v>24200</v>
      </c>
      <c r="L134" s="1238"/>
    </row>
    <row r="135" spans="1:23" ht="30.75" thickBot="1" x14ac:dyDescent="0.3">
      <c r="A135" s="178"/>
      <c r="B135" s="425"/>
      <c r="C135" s="244" t="s">
        <v>1533</v>
      </c>
      <c r="D135" s="1144" t="s">
        <v>1529</v>
      </c>
      <c r="E135" s="192">
        <v>8092</v>
      </c>
      <c r="F135" s="192">
        <v>10134</v>
      </c>
      <c r="G135" s="192">
        <v>11732</v>
      </c>
      <c r="H135" s="202"/>
      <c r="I135" s="192">
        <v>26394</v>
      </c>
      <c r="J135" s="192">
        <v>26394</v>
      </c>
      <c r="K135" s="192">
        <v>24200</v>
      </c>
      <c r="L135" s="192">
        <f t="shared" si="21"/>
        <v>91.687504735924833</v>
      </c>
    </row>
    <row r="136" spans="1:23" ht="17.25" thickBot="1" x14ac:dyDescent="0.3">
      <c r="A136" s="178"/>
      <c r="B136" s="425"/>
      <c r="C136" s="180" t="s">
        <v>227</v>
      </c>
      <c r="D136" s="1142" t="s">
        <v>1496</v>
      </c>
      <c r="E136" s="192"/>
      <c r="F136" s="192"/>
      <c r="G136" s="192"/>
      <c r="H136" s="202">
        <v>0</v>
      </c>
      <c r="I136" s="192"/>
      <c r="J136" s="192">
        <v>2013</v>
      </c>
      <c r="K136" s="192"/>
      <c r="L136" s="192">
        <f t="shared" si="21"/>
        <v>0</v>
      </c>
    </row>
    <row r="137" spans="1:23" ht="17.25" thickBot="1" x14ac:dyDescent="0.3">
      <c r="A137" s="1236"/>
      <c r="B137" s="1237"/>
      <c r="C137" s="180" t="s">
        <v>228</v>
      </c>
      <c r="D137" s="1142" t="s">
        <v>1530</v>
      </c>
      <c r="E137" s="1238"/>
      <c r="F137" s="1238"/>
      <c r="G137" s="1238"/>
      <c r="H137" s="202"/>
      <c r="I137" s="1238"/>
      <c r="J137" s="1238"/>
      <c r="K137" s="1238"/>
      <c r="L137" s="1238"/>
    </row>
    <row r="138" spans="1:23" ht="16.5" x14ac:dyDescent="0.25">
      <c r="A138" s="178"/>
      <c r="B138" s="425"/>
      <c r="C138" s="180" t="s">
        <v>657</v>
      </c>
      <c r="D138" s="430" t="s">
        <v>599</v>
      </c>
      <c r="E138" s="431">
        <f t="shared" ref="E138:I138" si="42">SUM(E129+E131+E130)</f>
        <v>27927</v>
      </c>
      <c r="F138" s="431">
        <f t="shared" si="42"/>
        <v>30134</v>
      </c>
      <c r="G138" s="431">
        <f t="shared" si="42"/>
        <v>31734</v>
      </c>
      <c r="H138" s="453">
        <f t="shared" si="42"/>
        <v>0</v>
      </c>
      <c r="I138" s="431">
        <f t="shared" si="42"/>
        <v>28194</v>
      </c>
      <c r="J138" s="431">
        <f>SUM(J129+J131+J130)</f>
        <v>30207</v>
      </c>
      <c r="K138" s="431">
        <f>SUM(K129+K131+K130)+K134</f>
        <v>26600</v>
      </c>
      <c r="L138" s="431">
        <f t="shared" si="21"/>
        <v>88.05905915847319</v>
      </c>
    </row>
    <row r="139" spans="1:23" ht="16.5" customHeight="1" thickBot="1" x14ac:dyDescent="0.3">
      <c r="A139" s="178"/>
      <c r="B139" s="420" t="s">
        <v>3</v>
      </c>
      <c r="C139" s="245"/>
      <c r="D139" s="1561" t="s">
        <v>82</v>
      </c>
      <c r="E139" s="1561"/>
      <c r="F139" s="1561"/>
      <c r="G139" s="1561"/>
      <c r="H139" s="1561"/>
      <c r="I139" s="192"/>
      <c r="J139" s="192"/>
      <c r="K139" s="192"/>
      <c r="L139" s="192"/>
    </row>
    <row r="140" spans="1:23" ht="16.5" customHeight="1" thickBot="1" x14ac:dyDescent="0.3">
      <c r="A140" s="1236"/>
      <c r="B140" s="1240"/>
      <c r="C140" s="180" t="s">
        <v>4</v>
      </c>
      <c r="D140" s="10" t="s">
        <v>1531</v>
      </c>
      <c r="E140" s="1241"/>
      <c r="F140" s="1241"/>
      <c r="G140" s="1241"/>
      <c r="H140" s="1241"/>
      <c r="I140" s="1238"/>
      <c r="J140" s="1238"/>
      <c r="K140" s="1239">
        <f>SUM(K141:K143)</f>
        <v>26600</v>
      </c>
      <c r="L140" s="1238"/>
    </row>
    <row r="141" spans="1:23" ht="16.5" x14ac:dyDescent="0.25">
      <c r="A141" s="178"/>
      <c r="B141" s="425"/>
      <c r="C141" s="245" t="s">
        <v>4</v>
      </c>
      <c r="D141" s="191" t="s">
        <v>272</v>
      </c>
      <c r="E141" s="192">
        <v>17861</v>
      </c>
      <c r="F141" s="192">
        <v>18148</v>
      </c>
      <c r="G141" s="192">
        <v>19341</v>
      </c>
      <c r="H141" s="202"/>
      <c r="I141" s="192">
        <v>10917</v>
      </c>
      <c r="J141" s="192">
        <v>10917</v>
      </c>
      <c r="K141" s="192">
        <v>3428</v>
      </c>
      <c r="L141" s="192">
        <f t="shared" si="21"/>
        <v>31.400567921590177</v>
      </c>
    </row>
    <row r="142" spans="1:23" ht="16.5" x14ac:dyDescent="0.25">
      <c r="A142" s="178"/>
      <c r="B142" s="425"/>
      <c r="C142" s="245" t="s">
        <v>6</v>
      </c>
      <c r="D142" s="191" t="s">
        <v>273</v>
      </c>
      <c r="E142" s="192">
        <v>5645</v>
      </c>
      <c r="F142" s="192">
        <v>5679</v>
      </c>
      <c r="G142" s="192">
        <v>6008</v>
      </c>
      <c r="H142" s="202"/>
      <c r="I142" s="192">
        <v>2981</v>
      </c>
      <c r="J142" s="192">
        <v>2981</v>
      </c>
      <c r="K142" s="192">
        <v>844</v>
      </c>
      <c r="L142" s="192">
        <f t="shared" si="21"/>
        <v>28.312646762831267</v>
      </c>
    </row>
    <row r="143" spans="1:23" ht="17.25" thickBot="1" x14ac:dyDescent="0.3">
      <c r="A143" s="178"/>
      <c r="B143" s="425"/>
      <c r="C143" s="245" t="s">
        <v>7</v>
      </c>
      <c r="D143" s="191" t="s">
        <v>86</v>
      </c>
      <c r="E143" s="192">
        <v>4421</v>
      </c>
      <c r="F143" s="192">
        <v>6307</v>
      </c>
      <c r="G143" s="192">
        <v>6385</v>
      </c>
      <c r="H143" s="202"/>
      <c r="I143" s="192">
        <v>14296</v>
      </c>
      <c r="J143" s="192">
        <v>14296</v>
      </c>
      <c r="K143" s="192">
        <v>22328</v>
      </c>
      <c r="L143" s="192">
        <f t="shared" si="21"/>
        <v>156.1835478455512</v>
      </c>
    </row>
    <row r="144" spans="1:23" ht="17.25" thickBot="1" x14ac:dyDescent="0.3">
      <c r="A144" s="1236"/>
      <c r="B144" s="1237"/>
      <c r="C144" s="180" t="s">
        <v>6</v>
      </c>
      <c r="D144" s="1156" t="s">
        <v>1532</v>
      </c>
      <c r="E144" s="1238"/>
      <c r="F144" s="1238"/>
      <c r="G144" s="1238"/>
      <c r="H144" s="202"/>
      <c r="I144" s="1238"/>
      <c r="J144" s="1238"/>
      <c r="K144" s="1239">
        <f>SUM(K145:K147)</f>
        <v>0</v>
      </c>
      <c r="L144" s="1238"/>
    </row>
    <row r="145" spans="1:12" ht="16.5" x14ac:dyDescent="0.25">
      <c r="A145" s="1236"/>
      <c r="B145" s="1237"/>
      <c r="C145" s="245" t="s">
        <v>537</v>
      </c>
      <c r="D145" s="191" t="s">
        <v>607</v>
      </c>
      <c r="E145" s="1238"/>
      <c r="F145" s="1238"/>
      <c r="G145" s="1238"/>
      <c r="H145" s="202"/>
      <c r="I145" s="1238"/>
      <c r="J145" s="1238"/>
      <c r="K145" s="1238"/>
      <c r="L145" s="1238"/>
    </row>
    <row r="146" spans="1:12" ht="16.5" x14ac:dyDescent="0.25">
      <c r="A146" s="178"/>
      <c r="B146" s="425"/>
      <c r="C146" s="245" t="s">
        <v>786</v>
      </c>
      <c r="D146" s="191" t="s">
        <v>608</v>
      </c>
      <c r="E146" s="192"/>
      <c r="F146" s="192"/>
      <c r="G146" s="192"/>
      <c r="H146" s="202"/>
      <c r="I146" s="192"/>
      <c r="J146" s="192">
        <v>2013</v>
      </c>
      <c r="K146" s="192"/>
      <c r="L146" s="192">
        <f t="shared" si="21"/>
        <v>0</v>
      </c>
    </row>
    <row r="147" spans="1:12" ht="16.5" x14ac:dyDescent="0.25">
      <c r="A147" s="1236"/>
      <c r="B147" s="1237"/>
      <c r="C147" s="245" t="s">
        <v>787</v>
      </c>
      <c r="D147" s="191" t="s">
        <v>1500</v>
      </c>
      <c r="E147" s="1238"/>
      <c r="F147" s="1238"/>
      <c r="G147" s="1238"/>
      <c r="H147" s="202"/>
      <c r="I147" s="1238"/>
      <c r="J147" s="1238"/>
      <c r="K147" s="1238"/>
      <c r="L147" s="1238"/>
    </row>
    <row r="148" spans="1:12" ht="16.5" x14ac:dyDescent="0.25">
      <c r="A148" s="178"/>
      <c r="B148" s="425"/>
      <c r="C148" s="245"/>
      <c r="D148" s="432" t="s">
        <v>610</v>
      </c>
      <c r="E148" s="431">
        <f t="shared" ref="E148:I148" si="43">SUM(E141:E146)</f>
        <v>27927</v>
      </c>
      <c r="F148" s="431">
        <f t="shared" si="43"/>
        <v>30134</v>
      </c>
      <c r="G148" s="431">
        <f t="shared" si="43"/>
        <v>31734</v>
      </c>
      <c r="H148" s="453">
        <f t="shared" si="43"/>
        <v>0</v>
      </c>
      <c r="I148" s="431">
        <f t="shared" si="43"/>
        <v>28194</v>
      </c>
      <c r="J148" s="431">
        <f t="shared" ref="J148:K148" si="44">SUM(J141:J146)</f>
        <v>30207</v>
      </c>
      <c r="K148" s="431">
        <f t="shared" si="44"/>
        <v>26600</v>
      </c>
      <c r="L148" s="431">
        <f t="shared" si="21"/>
        <v>88.05905915847319</v>
      </c>
    </row>
    <row r="149" spans="1:12" ht="16.5" x14ac:dyDescent="0.25">
      <c r="A149" s="178"/>
      <c r="B149" s="420" t="s">
        <v>12</v>
      </c>
      <c r="C149" s="174"/>
      <c r="D149" s="433" t="s">
        <v>611</v>
      </c>
      <c r="E149" s="300">
        <v>7.5</v>
      </c>
      <c r="F149" s="300">
        <v>7.5</v>
      </c>
      <c r="G149" s="300">
        <v>7.5</v>
      </c>
      <c r="H149" s="202"/>
      <c r="I149" s="300">
        <v>0</v>
      </c>
      <c r="J149" s="300">
        <v>0</v>
      </c>
      <c r="K149" s="300">
        <v>0</v>
      </c>
      <c r="L149" s="300"/>
    </row>
    <row r="150" spans="1:12" ht="17.25" x14ac:dyDescent="0.3">
      <c r="A150" s="419"/>
      <c r="B150" s="420"/>
      <c r="C150" s="173"/>
      <c r="D150" s="449" t="s">
        <v>1538</v>
      </c>
      <c r="E150" s="450"/>
      <c r="F150" s="450"/>
      <c r="G150" s="450"/>
      <c r="H150" s="450"/>
      <c r="I150" s="451"/>
      <c r="J150" s="451"/>
      <c r="K150" s="451"/>
      <c r="L150" s="451"/>
    </row>
    <row r="151" spans="1:12" ht="16.5" customHeight="1" thickBot="1" x14ac:dyDescent="0.3">
      <c r="A151" s="178"/>
      <c r="B151" s="420" t="s">
        <v>2</v>
      </c>
      <c r="C151" s="244"/>
      <c r="D151" s="1561" t="s">
        <v>81</v>
      </c>
      <c r="E151" s="1561"/>
      <c r="F151" s="1561"/>
      <c r="G151" s="1561"/>
      <c r="H151" s="1561"/>
      <c r="I151" s="192"/>
      <c r="J151" s="192"/>
      <c r="K151" s="192"/>
      <c r="L151" s="192"/>
    </row>
    <row r="152" spans="1:12" ht="17.25" thickBot="1" x14ac:dyDescent="0.3">
      <c r="A152" s="178"/>
      <c r="B152" s="425"/>
      <c r="C152" s="173" t="s">
        <v>50</v>
      </c>
      <c r="D152" s="1142" t="s">
        <v>1760</v>
      </c>
      <c r="E152" s="192">
        <f t="shared" ref="E152:I152" si="45">SUM(E153:E154)</f>
        <v>2585</v>
      </c>
      <c r="F152" s="192">
        <f t="shared" si="45"/>
        <v>3074</v>
      </c>
      <c r="G152" s="192">
        <f t="shared" si="45"/>
        <v>3074</v>
      </c>
      <c r="H152" s="192">
        <f t="shared" si="45"/>
        <v>3934</v>
      </c>
      <c r="I152" s="192">
        <f t="shared" si="45"/>
        <v>0</v>
      </c>
      <c r="J152" s="192">
        <f t="shared" ref="J152:K152" si="46">SUM(J153:J154)</f>
        <v>0</v>
      </c>
      <c r="K152" s="192">
        <f t="shared" si="46"/>
        <v>0</v>
      </c>
      <c r="L152" s="192"/>
    </row>
    <row r="153" spans="1:12" ht="16.5" x14ac:dyDescent="0.25">
      <c r="A153" s="178"/>
      <c r="B153" s="425"/>
      <c r="C153" s="244" t="s">
        <v>635</v>
      </c>
      <c r="D153" s="1144" t="s">
        <v>1474</v>
      </c>
      <c r="E153" s="192">
        <v>2154</v>
      </c>
      <c r="F153" s="192">
        <v>2647</v>
      </c>
      <c r="G153" s="192">
        <v>2647</v>
      </c>
      <c r="H153" s="192">
        <v>3278</v>
      </c>
      <c r="I153" s="192">
        <v>0</v>
      </c>
      <c r="J153" s="192"/>
      <c r="K153" s="192"/>
      <c r="L153" s="192"/>
    </row>
    <row r="154" spans="1:12" ht="17.25" thickBot="1" x14ac:dyDescent="0.3">
      <c r="A154" s="178"/>
      <c r="B154" s="425"/>
      <c r="C154" s="244" t="s">
        <v>76</v>
      </c>
      <c r="D154" s="1144" t="s">
        <v>1477</v>
      </c>
      <c r="E154" s="192">
        <v>431</v>
      </c>
      <c r="F154" s="192">
        <v>427</v>
      </c>
      <c r="G154" s="192">
        <v>427</v>
      </c>
      <c r="H154" s="192">
        <v>656</v>
      </c>
      <c r="I154" s="192"/>
      <c r="J154" s="192"/>
      <c r="K154" s="192"/>
      <c r="L154" s="192"/>
    </row>
    <row r="155" spans="1:12" ht="17.25" thickBot="1" x14ac:dyDescent="0.3">
      <c r="A155" s="178"/>
      <c r="B155" s="425"/>
      <c r="C155" s="173" t="s">
        <v>52</v>
      </c>
      <c r="D155" s="1142" t="s">
        <v>1526</v>
      </c>
      <c r="E155" s="192">
        <v>0</v>
      </c>
      <c r="F155" s="192">
        <v>0</v>
      </c>
      <c r="G155" s="192">
        <v>0</v>
      </c>
      <c r="H155" s="192"/>
      <c r="I155" s="192"/>
      <c r="J155" s="192"/>
      <c r="K155" s="192"/>
      <c r="L155" s="192"/>
    </row>
    <row r="156" spans="1:12" ht="29.25" thickBot="1" x14ac:dyDescent="0.3">
      <c r="A156" s="178"/>
      <c r="B156" s="425"/>
      <c r="C156" s="173" t="s">
        <v>54</v>
      </c>
      <c r="D156" s="1142" t="s">
        <v>1527</v>
      </c>
      <c r="E156" s="192">
        <f t="shared" ref="E156:I156" si="47">SUM(E157+E161)</f>
        <v>0</v>
      </c>
      <c r="F156" s="192">
        <f t="shared" si="47"/>
        <v>0</v>
      </c>
      <c r="G156" s="192">
        <f t="shared" si="47"/>
        <v>759</v>
      </c>
      <c r="H156" s="192">
        <f t="shared" si="47"/>
        <v>0</v>
      </c>
      <c r="I156" s="192">
        <f t="shared" si="47"/>
        <v>72435</v>
      </c>
      <c r="J156" s="192">
        <f t="shared" ref="J156" si="48">SUM(J157+J161)</f>
        <v>79435</v>
      </c>
      <c r="K156" s="237">
        <f>SUM(K157)</f>
        <v>52200</v>
      </c>
      <c r="L156" s="192">
        <f t="shared" si="21"/>
        <v>65.714105872726122</v>
      </c>
    </row>
    <row r="157" spans="1:12" ht="30" x14ac:dyDescent="0.25">
      <c r="A157" s="426"/>
      <c r="B157" s="427"/>
      <c r="C157" s="198" t="s">
        <v>186</v>
      </c>
      <c r="D157" s="1151" t="s">
        <v>1483</v>
      </c>
      <c r="E157" s="196">
        <f>SUM(E158:E160)</f>
        <v>0</v>
      </c>
      <c r="F157" s="196"/>
      <c r="G157" s="196">
        <f>SUM(G158:G160)</f>
        <v>499</v>
      </c>
      <c r="H157" s="196">
        <f>SUM(H158:H160)</f>
        <v>0</v>
      </c>
      <c r="I157" s="196">
        <f>SUM(I158:I160)</f>
        <v>72435</v>
      </c>
      <c r="J157" s="196">
        <f t="shared" ref="J157" si="49">SUM(J158:J160)</f>
        <v>79377</v>
      </c>
      <c r="K157" s="196">
        <f>SUM(K158)</f>
        <v>52200</v>
      </c>
      <c r="L157" s="196">
        <f t="shared" si="21"/>
        <v>65.762122529196105</v>
      </c>
    </row>
    <row r="158" spans="1:12" ht="30.75" thickBot="1" x14ac:dyDescent="0.3">
      <c r="A158" s="178"/>
      <c r="B158" s="425"/>
      <c r="C158" s="244" t="s">
        <v>580</v>
      </c>
      <c r="D158" s="1152" t="s">
        <v>34</v>
      </c>
      <c r="E158" s="192"/>
      <c r="F158" s="192"/>
      <c r="G158" s="192"/>
      <c r="H158" s="192"/>
      <c r="I158" s="192">
        <v>65200</v>
      </c>
      <c r="J158" s="192">
        <v>65200</v>
      </c>
      <c r="K158" s="192">
        <v>52200</v>
      </c>
      <c r="L158" s="192">
        <f t="shared" si="21"/>
        <v>80.061349693251543</v>
      </c>
    </row>
    <row r="159" spans="1:12" ht="17.25" thickBot="1" x14ac:dyDescent="0.3">
      <c r="A159" s="1236"/>
      <c r="B159" s="1237"/>
      <c r="C159" s="180" t="s">
        <v>56</v>
      </c>
      <c r="D159" s="1142" t="s">
        <v>1528</v>
      </c>
      <c r="E159" s="1238"/>
      <c r="F159" s="1238"/>
      <c r="G159" s="1238"/>
      <c r="H159" s="1238"/>
      <c r="I159" s="1238"/>
      <c r="J159" s="1238"/>
      <c r="K159" s="1239">
        <f>SUM(K160)</f>
        <v>24650</v>
      </c>
      <c r="L159" s="1238"/>
    </row>
    <row r="160" spans="1:12" ht="30.75" thickBot="1" x14ac:dyDescent="0.3">
      <c r="A160" s="178"/>
      <c r="B160" s="425"/>
      <c r="C160" s="244" t="s">
        <v>1533</v>
      </c>
      <c r="D160" s="1144" t="s">
        <v>1529</v>
      </c>
      <c r="E160" s="192"/>
      <c r="F160" s="192"/>
      <c r="G160" s="192">
        <v>499</v>
      </c>
      <c r="H160" s="192">
        <v>0</v>
      </c>
      <c r="I160" s="192">
        <v>7235</v>
      </c>
      <c r="J160" s="192">
        <v>14177</v>
      </c>
      <c r="K160" s="192">
        <v>24650</v>
      </c>
      <c r="L160" s="192">
        <f t="shared" si="21"/>
        <v>173.87317486068986</v>
      </c>
    </row>
    <row r="161" spans="1:16" ht="17.25" thickBot="1" x14ac:dyDescent="0.3">
      <c r="A161" s="178"/>
      <c r="B161" s="425"/>
      <c r="C161" s="180" t="s">
        <v>227</v>
      </c>
      <c r="D161" s="1142" t="s">
        <v>1496</v>
      </c>
      <c r="E161" s="192"/>
      <c r="F161" s="192"/>
      <c r="G161" s="192">
        <v>260</v>
      </c>
      <c r="H161" s="192">
        <v>0</v>
      </c>
      <c r="I161" s="192"/>
      <c r="J161" s="192">
        <v>58</v>
      </c>
      <c r="K161" s="192"/>
      <c r="L161" s="192">
        <f t="shared" ref="L161:L199" si="50">K161/J161*100</f>
        <v>0</v>
      </c>
    </row>
    <row r="162" spans="1:16" ht="17.25" thickBot="1" x14ac:dyDescent="0.3">
      <c r="A162" s="1236"/>
      <c r="B162" s="1237"/>
      <c r="C162" s="180" t="s">
        <v>228</v>
      </c>
      <c r="D162" s="1142" t="s">
        <v>1530</v>
      </c>
      <c r="E162" s="1238"/>
      <c r="F162" s="1238"/>
      <c r="G162" s="1238"/>
      <c r="H162" s="1238"/>
      <c r="I162" s="1238"/>
      <c r="J162" s="1238"/>
      <c r="K162" s="1238"/>
      <c r="L162" s="1238"/>
    </row>
    <row r="163" spans="1:16" ht="16.5" x14ac:dyDescent="0.25">
      <c r="A163" s="178"/>
      <c r="B163" s="425"/>
      <c r="C163" s="180" t="s">
        <v>657</v>
      </c>
      <c r="D163" s="430" t="s">
        <v>599</v>
      </c>
      <c r="E163" s="431">
        <f t="shared" ref="E163:I163" si="51">SUM(E152+E156+E155)</f>
        <v>2585</v>
      </c>
      <c r="F163" s="431">
        <f t="shared" si="51"/>
        <v>3074</v>
      </c>
      <c r="G163" s="431">
        <f t="shared" si="51"/>
        <v>3833</v>
      </c>
      <c r="H163" s="431">
        <f t="shared" si="51"/>
        <v>3934</v>
      </c>
      <c r="I163" s="431">
        <f t="shared" si="51"/>
        <v>72435</v>
      </c>
      <c r="J163" s="431">
        <f>SUM(J152+J156+J155)</f>
        <v>79435</v>
      </c>
      <c r="K163" s="431">
        <f>SUM(K152+K156+K155+K159)</f>
        <v>76850</v>
      </c>
      <c r="L163" s="431">
        <f t="shared" si="50"/>
        <v>96.745766979291247</v>
      </c>
    </row>
    <row r="164" spans="1:16" ht="16.5" customHeight="1" thickBot="1" x14ac:dyDescent="0.3">
      <c r="A164" s="178"/>
      <c r="B164" s="420" t="s">
        <v>3</v>
      </c>
      <c r="C164" s="245"/>
      <c r="D164" s="1561" t="s">
        <v>82</v>
      </c>
      <c r="E164" s="1561"/>
      <c r="F164" s="1561"/>
      <c r="G164" s="1561"/>
      <c r="H164" s="1561"/>
      <c r="I164" s="192"/>
      <c r="J164" s="192"/>
      <c r="K164" s="192"/>
      <c r="L164" s="192"/>
    </row>
    <row r="165" spans="1:16" ht="16.5" customHeight="1" thickBot="1" x14ac:dyDescent="0.3">
      <c r="A165" s="1236"/>
      <c r="B165" s="1240"/>
      <c r="C165" s="180" t="s">
        <v>4</v>
      </c>
      <c r="D165" s="10" t="s">
        <v>1531</v>
      </c>
      <c r="E165" s="1241"/>
      <c r="F165" s="1241"/>
      <c r="G165" s="1241"/>
      <c r="H165" s="1241"/>
      <c r="I165" s="1238"/>
      <c r="J165" s="1238"/>
      <c r="K165" s="1239">
        <f>SUM(K166:K168)</f>
        <v>76850</v>
      </c>
      <c r="L165" s="1238"/>
    </row>
    <row r="166" spans="1:16" ht="16.5" x14ac:dyDescent="0.25">
      <c r="A166" s="178"/>
      <c r="B166" s="425"/>
      <c r="C166" s="245" t="s">
        <v>4</v>
      </c>
      <c r="D166" s="191" t="s">
        <v>272</v>
      </c>
      <c r="E166" s="192">
        <v>1962</v>
      </c>
      <c r="F166" s="192">
        <v>2295</v>
      </c>
      <c r="G166" s="192">
        <v>2363</v>
      </c>
      <c r="H166" s="192">
        <v>2499</v>
      </c>
      <c r="I166" s="192">
        <v>7669</v>
      </c>
      <c r="J166" s="192">
        <v>7669</v>
      </c>
      <c r="K166" s="192">
        <v>3500</v>
      </c>
      <c r="L166" s="192">
        <f t="shared" si="50"/>
        <v>45.63828400052158</v>
      </c>
    </row>
    <row r="167" spans="1:16" ht="16.5" x14ac:dyDescent="0.25">
      <c r="A167" s="178"/>
      <c r="B167" s="425"/>
      <c r="C167" s="245" t="s">
        <v>6</v>
      </c>
      <c r="D167" s="191" t="s">
        <v>273</v>
      </c>
      <c r="E167" s="192">
        <v>587</v>
      </c>
      <c r="F167" s="192">
        <v>699</v>
      </c>
      <c r="G167" s="192">
        <v>721</v>
      </c>
      <c r="H167" s="192">
        <v>719</v>
      </c>
      <c r="I167" s="192">
        <v>2094</v>
      </c>
      <c r="J167" s="192">
        <v>2094</v>
      </c>
      <c r="K167" s="192">
        <v>919</v>
      </c>
      <c r="L167" s="192">
        <f t="shared" si="50"/>
        <v>43.887297039159499</v>
      </c>
      <c r="P167" s="216" t="e">
        <f>SUM(#REF!-#REF!)</f>
        <v>#REF!</v>
      </c>
    </row>
    <row r="168" spans="1:16" ht="17.25" thickBot="1" x14ac:dyDescent="0.3">
      <c r="A168" s="178"/>
      <c r="B168" s="425"/>
      <c r="C168" s="245" t="s">
        <v>7</v>
      </c>
      <c r="D168" s="191" t="s">
        <v>86</v>
      </c>
      <c r="E168" s="192">
        <v>36</v>
      </c>
      <c r="F168" s="192">
        <v>80</v>
      </c>
      <c r="G168" s="192">
        <v>489</v>
      </c>
      <c r="H168" s="192">
        <v>716</v>
      </c>
      <c r="I168" s="192">
        <v>62672</v>
      </c>
      <c r="J168" s="192">
        <v>69614</v>
      </c>
      <c r="K168" s="192">
        <v>72431</v>
      </c>
      <c r="L168" s="192">
        <f t="shared" si="50"/>
        <v>104.04659982187492</v>
      </c>
    </row>
    <row r="169" spans="1:16" ht="17.25" thickBot="1" x14ac:dyDescent="0.3">
      <c r="A169" s="1236"/>
      <c r="B169" s="1237"/>
      <c r="C169" s="180" t="s">
        <v>6</v>
      </c>
      <c r="D169" s="1156" t="s">
        <v>1532</v>
      </c>
      <c r="E169" s="1238"/>
      <c r="F169" s="1238"/>
      <c r="G169" s="1238"/>
      <c r="H169" s="1238"/>
      <c r="I169" s="1238"/>
      <c r="J169" s="1238"/>
      <c r="K169" s="1239">
        <f>SUM(K170:K172)</f>
        <v>0</v>
      </c>
      <c r="L169" s="1238"/>
    </row>
    <row r="170" spans="1:16" ht="16.5" x14ac:dyDescent="0.25">
      <c r="A170" s="178"/>
      <c r="B170" s="425"/>
      <c r="C170" s="245" t="s">
        <v>8</v>
      </c>
      <c r="D170" s="191" t="s">
        <v>607</v>
      </c>
      <c r="E170" s="192"/>
      <c r="F170" s="192"/>
      <c r="G170" s="192"/>
      <c r="H170" s="192"/>
      <c r="I170" s="192"/>
      <c r="J170" s="192"/>
      <c r="K170" s="192"/>
      <c r="L170" s="192"/>
    </row>
    <row r="171" spans="1:16" ht="16.5" x14ac:dyDescent="0.25">
      <c r="A171" s="178"/>
      <c r="B171" s="425"/>
      <c r="C171" s="245" t="s">
        <v>9</v>
      </c>
      <c r="D171" s="191" t="s">
        <v>608</v>
      </c>
      <c r="E171" s="192"/>
      <c r="F171" s="192"/>
      <c r="G171" s="192">
        <v>260</v>
      </c>
      <c r="H171" s="192">
        <v>0</v>
      </c>
      <c r="I171" s="192"/>
      <c r="J171" s="192">
        <v>58</v>
      </c>
      <c r="K171" s="192"/>
      <c r="L171" s="192">
        <f t="shared" si="50"/>
        <v>0</v>
      </c>
    </row>
    <row r="172" spans="1:16" ht="16.5" x14ac:dyDescent="0.25">
      <c r="A172" s="178"/>
      <c r="B172" s="425"/>
      <c r="C172" s="245" t="s">
        <v>10</v>
      </c>
      <c r="D172" s="191" t="s">
        <v>1500</v>
      </c>
      <c r="E172" s="192"/>
      <c r="F172" s="192"/>
      <c r="G172" s="192"/>
      <c r="H172" s="192"/>
      <c r="I172" s="192"/>
      <c r="J172" s="192"/>
      <c r="K172" s="192"/>
      <c r="L172" s="192"/>
    </row>
    <row r="173" spans="1:16" ht="16.5" x14ac:dyDescent="0.25">
      <c r="A173" s="178"/>
      <c r="B173" s="425"/>
      <c r="C173" s="245"/>
      <c r="D173" s="432" t="s">
        <v>610</v>
      </c>
      <c r="E173" s="431">
        <f t="shared" ref="E173:I173" si="52">SUM(E166:E172)</f>
        <v>2585</v>
      </c>
      <c r="F173" s="431">
        <f t="shared" si="52"/>
        <v>3074</v>
      </c>
      <c r="G173" s="431">
        <f t="shared" si="52"/>
        <v>3833</v>
      </c>
      <c r="H173" s="431">
        <f t="shared" si="52"/>
        <v>3934</v>
      </c>
      <c r="I173" s="431">
        <f t="shared" si="52"/>
        <v>72435</v>
      </c>
      <c r="J173" s="431">
        <f>SUM(J166:J172)</f>
        <v>79435</v>
      </c>
      <c r="K173" s="431">
        <f>SUM(K165+K169)</f>
        <v>76850</v>
      </c>
      <c r="L173" s="431">
        <f t="shared" si="50"/>
        <v>96.745766979291247</v>
      </c>
    </row>
    <row r="174" spans="1:16" ht="16.5" x14ac:dyDescent="0.25">
      <c r="A174" s="178"/>
      <c r="B174" s="420" t="s">
        <v>12</v>
      </c>
      <c r="C174" s="174"/>
      <c r="D174" s="433" t="s">
        <v>611</v>
      </c>
      <c r="E174" s="305">
        <v>1</v>
      </c>
      <c r="F174" s="305">
        <v>1</v>
      </c>
      <c r="G174" s="305">
        <v>1</v>
      </c>
      <c r="H174" s="305">
        <v>1</v>
      </c>
      <c r="I174" s="305"/>
      <c r="J174" s="305"/>
      <c r="K174" s="305"/>
      <c r="L174" s="305"/>
    </row>
    <row r="175" spans="1:16" ht="17.25" x14ac:dyDescent="0.3">
      <c r="A175" s="419"/>
      <c r="B175" s="420"/>
      <c r="C175" s="173"/>
      <c r="D175" s="449" t="s">
        <v>1539</v>
      </c>
      <c r="E175" s="450"/>
      <c r="F175" s="450"/>
      <c r="G175" s="450"/>
      <c r="H175" s="450"/>
      <c r="I175" s="451"/>
      <c r="J175" s="451"/>
      <c r="K175" s="451"/>
      <c r="L175" s="451"/>
    </row>
    <row r="176" spans="1:16" ht="16.5" customHeight="1" thickBot="1" x14ac:dyDescent="0.3">
      <c r="A176" s="178"/>
      <c r="B176" s="420" t="s">
        <v>2</v>
      </c>
      <c r="C176" s="244"/>
      <c r="D176" s="1561" t="s">
        <v>81</v>
      </c>
      <c r="E176" s="1561"/>
      <c r="F176" s="1561"/>
      <c r="G176" s="1561"/>
      <c r="H176" s="1561"/>
      <c r="I176" s="192"/>
      <c r="J176" s="192"/>
      <c r="K176" s="192"/>
      <c r="L176" s="192"/>
    </row>
    <row r="177" spans="1:12" ht="17.25" thickBot="1" x14ac:dyDescent="0.3">
      <c r="A177" s="178"/>
      <c r="B177" s="425"/>
      <c r="C177" s="173" t="s">
        <v>50</v>
      </c>
      <c r="D177" s="1142" t="s">
        <v>1760</v>
      </c>
      <c r="E177" s="192"/>
      <c r="F177" s="192"/>
      <c r="G177" s="192"/>
      <c r="H177" s="202"/>
      <c r="I177" s="192">
        <v>4700</v>
      </c>
      <c r="J177" s="192">
        <v>4700</v>
      </c>
      <c r="K177" s="237">
        <v>5205</v>
      </c>
      <c r="L177" s="192">
        <f t="shared" si="50"/>
        <v>110.74468085106383</v>
      </c>
    </row>
    <row r="178" spans="1:12" ht="17.25" thickBot="1" x14ac:dyDescent="0.3">
      <c r="A178" s="178"/>
      <c r="B178" s="425"/>
      <c r="C178" s="173" t="s">
        <v>52</v>
      </c>
      <c r="D178" s="1142" t="s">
        <v>1526</v>
      </c>
      <c r="E178" s="192">
        <v>0</v>
      </c>
      <c r="F178" s="192">
        <v>0</v>
      </c>
      <c r="G178" s="192">
        <v>0</v>
      </c>
      <c r="H178" s="202"/>
      <c r="I178" s="192">
        <v>0</v>
      </c>
      <c r="J178" s="192">
        <v>0</v>
      </c>
      <c r="K178" s="192">
        <v>0</v>
      </c>
      <c r="L178" s="192"/>
    </row>
    <row r="179" spans="1:12" ht="29.25" thickBot="1" x14ac:dyDescent="0.3">
      <c r="A179" s="178"/>
      <c r="B179" s="425"/>
      <c r="C179" s="173" t="s">
        <v>54</v>
      </c>
      <c r="D179" s="1142" t="s">
        <v>1527</v>
      </c>
      <c r="E179" s="192">
        <f t="shared" ref="E179:I179" si="53">SUM(E180+E185)</f>
        <v>11898</v>
      </c>
      <c r="F179" s="192">
        <f t="shared" si="53"/>
        <v>13011</v>
      </c>
      <c r="G179" s="192">
        <f t="shared" si="53"/>
        <v>13387</v>
      </c>
      <c r="H179" s="202">
        <f t="shared" si="53"/>
        <v>0</v>
      </c>
      <c r="I179" s="192">
        <f t="shared" si="53"/>
        <v>0</v>
      </c>
      <c r="J179" s="192">
        <f t="shared" ref="J179:K179" si="54">SUM(J180+J185)</f>
        <v>0</v>
      </c>
      <c r="K179" s="192">
        <f t="shared" si="54"/>
        <v>0</v>
      </c>
      <c r="L179" s="192"/>
    </row>
    <row r="180" spans="1:12" ht="30" x14ac:dyDescent="0.25">
      <c r="A180" s="426"/>
      <c r="B180" s="427"/>
      <c r="C180" s="198" t="s">
        <v>186</v>
      </c>
      <c r="D180" s="1151" t="s">
        <v>1483</v>
      </c>
      <c r="E180" s="196">
        <f t="shared" ref="E180:I180" si="55">SUM(E181:E183)</f>
        <v>11898</v>
      </c>
      <c r="F180" s="196">
        <f t="shared" si="55"/>
        <v>13011</v>
      </c>
      <c r="G180" s="196">
        <f t="shared" si="55"/>
        <v>13387</v>
      </c>
      <c r="H180" s="452">
        <f t="shared" si="55"/>
        <v>0</v>
      </c>
      <c r="I180" s="196">
        <f t="shared" si="55"/>
        <v>0</v>
      </c>
      <c r="J180" s="196">
        <f t="shared" ref="J180:K180" si="56">SUM(J181:J183)</f>
        <v>0</v>
      </c>
      <c r="K180" s="196">
        <f t="shared" si="56"/>
        <v>0</v>
      </c>
      <c r="L180" s="196"/>
    </row>
    <row r="181" spans="1:12" ht="30.75" thickBot="1" x14ac:dyDescent="0.3">
      <c r="A181" s="178"/>
      <c r="B181" s="425"/>
      <c r="C181" s="244" t="s">
        <v>580</v>
      </c>
      <c r="D181" s="1152" t="s">
        <v>34</v>
      </c>
      <c r="E181" s="192">
        <v>10776</v>
      </c>
      <c r="F181" s="192">
        <v>10236</v>
      </c>
      <c r="G181" s="192">
        <v>10236</v>
      </c>
      <c r="H181" s="202">
        <v>0</v>
      </c>
      <c r="I181" s="192"/>
      <c r="J181" s="192"/>
      <c r="K181" s="192"/>
      <c r="L181" s="192"/>
    </row>
    <row r="182" spans="1:12" ht="17.25" thickBot="1" x14ac:dyDescent="0.3">
      <c r="A182" s="1236"/>
      <c r="B182" s="1237"/>
      <c r="C182" s="180" t="s">
        <v>56</v>
      </c>
      <c r="D182" s="1142" t="s">
        <v>1528</v>
      </c>
      <c r="E182" s="1238"/>
      <c r="F182" s="1238"/>
      <c r="G182" s="1238"/>
      <c r="H182" s="202"/>
      <c r="I182" s="1238"/>
      <c r="J182" s="1238"/>
      <c r="K182" s="1238"/>
      <c r="L182" s="1238"/>
    </row>
    <row r="183" spans="1:12" ht="30.75" thickBot="1" x14ac:dyDescent="0.3">
      <c r="A183" s="178"/>
      <c r="B183" s="425"/>
      <c r="C183" s="244" t="s">
        <v>1533</v>
      </c>
      <c r="D183" s="1144" t="s">
        <v>1529</v>
      </c>
      <c r="E183" s="192">
        <v>1122</v>
      </c>
      <c r="F183" s="192">
        <v>2775</v>
      </c>
      <c r="G183" s="192">
        <v>3151</v>
      </c>
      <c r="H183" s="202">
        <v>0</v>
      </c>
      <c r="I183" s="192"/>
      <c r="J183" s="192"/>
      <c r="K183" s="192"/>
      <c r="L183" s="192"/>
    </row>
    <row r="184" spans="1:12" ht="17.25" thickBot="1" x14ac:dyDescent="0.3">
      <c r="A184" s="1236"/>
      <c r="B184" s="1237"/>
      <c r="C184" s="180" t="s">
        <v>227</v>
      </c>
      <c r="D184" s="1142" t="s">
        <v>1496</v>
      </c>
      <c r="E184" s="1238"/>
      <c r="F184" s="1238"/>
      <c r="G184" s="1238"/>
      <c r="H184" s="202"/>
      <c r="I184" s="1238"/>
      <c r="J184" s="1238"/>
      <c r="K184" s="1238"/>
      <c r="L184" s="1238"/>
    </row>
    <row r="185" spans="1:12" ht="17.25" thickBot="1" x14ac:dyDescent="0.3">
      <c r="A185" s="178"/>
      <c r="B185" s="425"/>
      <c r="C185" s="180" t="s">
        <v>228</v>
      </c>
      <c r="D185" s="1142" t="s">
        <v>1530</v>
      </c>
      <c r="E185" s="192"/>
      <c r="F185" s="192"/>
      <c r="G185" s="192"/>
      <c r="H185" s="202"/>
      <c r="I185" s="192"/>
      <c r="J185" s="192"/>
      <c r="K185" s="192"/>
      <c r="L185" s="192"/>
    </row>
    <row r="186" spans="1:12" ht="16.5" x14ac:dyDescent="0.25">
      <c r="A186" s="178"/>
      <c r="B186" s="425"/>
      <c r="C186" s="180" t="s">
        <v>657</v>
      </c>
      <c r="D186" s="430" t="s">
        <v>599</v>
      </c>
      <c r="E186" s="431">
        <f t="shared" ref="E186:I186" si="57">SUM(E177+E179+E178)</f>
        <v>11898</v>
      </c>
      <c r="F186" s="431">
        <f t="shared" si="57"/>
        <v>13011</v>
      </c>
      <c r="G186" s="431">
        <f t="shared" si="57"/>
        <v>13387</v>
      </c>
      <c r="H186" s="453">
        <f t="shared" si="57"/>
        <v>0</v>
      </c>
      <c r="I186" s="431">
        <f t="shared" si="57"/>
        <v>4700</v>
      </c>
      <c r="J186" s="431">
        <f t="shared" ref="J186:K186" si="58">SUM(J177+J179+J178)</f>
        <v>4700</v>
      </c>
      <c r="K186" s="431">
        <f t="shared" si="58"/>
        <v>5205</v>
      </c>
      <c r="L186" s="431">
        <f t="shared" si="50"/>
        <v>110.74468085106383</v>
      </c>
    </row>
    <row r="187" spans="1:12" ht="17.25" thickBot="1" x14ac:dyDescent="0.3">
      <c r="A187" s="178"/>
      <c r="B187" s="420" t="s">
        <v>3</v>
      </c>
      <c r="C187" s="245"/>
      <c r="D187" s="1561" t="s">
        <v>82</v>
      </c>
      <c r="E187" s="1561"/>
      <c r="F187" s="1561"/>
      <c r="G187" s="1561"/>
      <c r="H187" s="1561"/>
      <c r="I187" s="192"/>
      <c r="J187" s="192"/>
      <c r="K187" s="192"/>
      <c r="L187" s="192"/>
    </row>
    <row r="188" spans="1:12" ht="17.25" thickBot="1" x14ac:dyDescent="0.3">
      <c r="A188" s="1236"/>
      <c r="B188" s="1240"/>
      <c r="C188" s="180" t="s">
        <v>4</v>
      </c>
      <c r="D188" s="10" t="s">
        <v>1531</v>
      </c>
      <c r="E188" s="1241"/>
      <c r="F188" s="1241"/>
      <c r="G188" s="1241"/>
      <c r="H188" s="1241"/>
      <c r="I188" s="1238"/>
      <c r="J188" s="1238"/>
      <c r="K188" s="1239">
        <f>SUM(K189:K191)</f>
        <v>5205</v>
      </c>
      <c r="L188" s="1238"/>
    </row>
    <row r="189" spans="1:12" ht="16.5" x14ac:dyDescent="0.25">
      <c r="A189" s="178"/>
      <c r="B189" s="425"/>
      <c r="C189" s="245" t="s">
        <v>4</v>
      </c>
      <c r="D189" s="191" t="s">
        <v>272</v>
      </c>
      <c r="E189" s="192">
        <v>7165</v>
      </c>
      <c r="F189" s="192">
        <v>8560</v>
      </c>
      <c r="G189" s="192">
        <v>8845</v>
      </c>
      <c r="H189" s="202">
        <v>0</v>
      </c>
      <c r="I189" s="192">
        <v>134</v>
      </c>
      <c r="J189" s="192">
        <v>134</v>
      </c>
      <c r="K189" s="192"/>
      <c r="L189" s="192">
        <f t="shared" si="50"/>
        <v>0</v>
      </c>
    </row>
    <row r="190" spans="1:12" ht="16.5" x14ac:dyDescent="0.25">
      <c r="A190" s="178"/>
      <c r="B190" s="425"/>
      <c r="C190" s="245" t="s">
        <v>6</v>
      </c>
      <c r="D190" s="191" t="s">
        <v>273</v>
      </c>
      <c r="E190" s="192">
        <v>2274</v>
      </c>
      <c r="F190" s="192">
        <v>2699</v>
      </c>
      <c r="G190" s="192">
        <v>2790</v>
      </c>
      <c r="H190" s="202">
        <v>0</v>
      </c>
      <c r="I190" s="192">
        <v>36</v>
      </c>
      <c r="J190" s="192">
        <v>36</v>
      </c>
      <c r="K190" s="192"/>
      <c r="L190" s="192">
        <f t="shared" si="50"/>
        <v>0</v>
      </c>
    </row>
    <row r="191" spans="1:12" ht="17.25" thickBot="1" x14ac:dyDescent="0.3">
      <c r="A191" s="178"/>
      <c r="B191" s="425"/>
      <c r="C191" s="245" t="s">
        <v>7</v>
      </c>
      <c r="D191" s="191" t="s">
        <v>86</v>
      </c>
      <c r="E191" s="192">
        <v>2459</v>
      </c>
      <c r="F191" s="192">
        <v>1752</v>
      </c>
      <c r="G191" s="192">
        <v>1752</v>
      </c>
      <c r="H191" s="202">
        <v>0</v>
      </c>
      <c r="I191" s="192">
        <v>4530</v>
      </c>
      <c r="J191" s="192">
        <v>4530</v>
      </c>
      <c r="K191" s="192">
        <v>5205</v>
      </c>
      <c r="L191" s="192">
        <f t="shared" si="50"/>
        <v>114.90066225165563</v>
      </c>
    </row>
    <row r="192" spans="1:12" ht="17.25" thickBot="1" x14ac:dyDescent="0.3">
      <c r="A192" s="1236"/>
      <c r="B192" s="1237"/>
      <c r="C192" s="180" t="s">
        <v>6</v>
      </c>
      <c r="D192" s="1156" t="s">
        <v>1532</v>
      </c>
      <c r="E192" s="1238"/>
      <c r="F192" s="1238"/>
      <c r="G192" s="1238"/>
      <c r="H192" s="202"/>
      <c r="I192" s="1238"/>
      <c r="J192" s="1238"/>
      <c r="K192" s="1239">
        <f>SUM(K193:K195)</f>
        <v>0</v>
      </c>
      <c r="L192" s="1238"/>
    </row>
    <row r="193" spans="1:12" ht="16.5" x14ac:dyDescent="0.25">
      <c r="A193" s="178"/>
      <c r="B193" s="425"/>
      <c r="C193" s="245" t="s">
        <v>8</v>
      </c>
      <c r="D193" s="191" t="s">
        <v>607</v>
      </c>
      <c r="E193" s="192"/>
      <c r="F193" s="192"/>
      <c r="G193" s="192"/>
      <c r="H193" s="202"/>
      <c r="I193" s="192"/>
      <c r="J193" s="192"/>
      <c r="K193" s="192"/>
      <c r="L193" s="192"/>
    </row>
    <row r="194" spans="1:12" ht="16.5" x14ac:dyDescent="0.25">
      <c r="A194" s="178"/>
      <c r="B194" s="425"/>
      <c r="C194" s="245" t="s">
        <v>9</v>
      </c>
      <c r="D194" s="191" t="s">
        <v>608</v>
      </c>
      <c r="E194" s="192"/>
      <c r="F194" s="192"/>
      <c r="G194" s="192"/>
      <c r="H194" s="202"/>
      <c r="I194" s="192"/>
      <c r="J194" s="192"/>
      <c r="K194" s="192"/>
      <c r="L194" s="192"/>
    </row>
    <row r="195" spans="1:12" ht="16.5" x14ac:dyDescent="0.25">
      <c r="A195" s="178"/>
      <c r="B195" s="425"/>
      <c r="C195" s="245" t="s">
        <v>10</v>
      </c>
      <c r="D195" s="191" t="s">
        <v>1500</v>
      </c>
      <c r="E195" s="192"/>
      <c r="F195" s="192"/>
      <c r="G195" s="192"/>
      <c r="H195" s="202"/>
      <c r="I195" s="192"/>
      <c r="J195" s="192"/>
      <c r="K195" s="192"/>
      <c r="L195" s="192"/>
    </row>
    <row r="196" spans="1:12" ht="16.5" x14ac:dyDescent="0.25">
      <c r="A196" s="178"/>
      <c r="B196" s="425"/>
      <c r="C196" s="245"/>
      <c r="D196" s="432" t="s">
        <v>610</v>
      </c>
      <c r="E196" s="431">
        <f t="shared" ref="E196:I196" si="59">SUM(E189:E195)</f>
        <v>11898</v>
      </c>
      <c r="F196" s="431">
        <f t="shared" si="59"/>
        <v>13011</v>
      </c>
      <c r="G196" s="431">
        <f t="shared" si="59"/>
        <v>13387</v>
      </c>
      <c r="H196" s="453">
        <f t="shared" si="59"/>
        <v>0</v>
      </c>
      <c r="I196" s="431">
        <f t="shared" si="59"/>
        <v>4700</v>
      </c>
      <c r="J196" s="431">
        <f t="shared" ref="J196:K196" si="60">SUM(J189:J195)</f>
        <v>4700</v>
      </c>
      <c r="K196" s="431">
        <f t="shared" si="60"/>
        <v>5205</v>
      </c>
      <c r="L196" s="431">
        <f t="shared" si="50"/>
        <v>110.74468085106383</v>
      </c>
    </row>
    <row r="197" spans="1:12" ht="16.5" x14ac:dyDescent="0.25">
      <c r="A197" s="178"/>
      <c r="B197" s="420" t="s">
        <v>12</v>
      </c>
      <c r="C197" s="174"/>
      <c r="D197" s="433" t="s">
        <v>611</v>
      </c>
      <c r="E197" s="305">
        <v>3</v>
      </c>
      <c r="F197" s="305">
        <v>3</v>
      </c>
      <c r="G197" s="305">
        <v>3</v>
      </c>
      <c r="H197" s="305">
        <v>0</v>
      </c>
      <c r="I197" s="305"/>
      <c r="J197" s="305"/>
      <c r="K197" s="305"/>
      <c r="L197" s="305"/>
    </row>
    <row r="198" spans="1:12" ht="29.25" x14ac:dyDescent="0.25">
      <c r="A198" s="464"/>
      <c r="B198" s="465"/>
      <c r="C198" s="466"/>
      <c r="D198" s="467" t="s">
        <v>647</v>
      </c>
      <c r="E198" s="468">
        <f>SUM(E92+E69+E44+E21)</f>
        <v>365650</v>
      </c>
      <c r="F198" s="468">
        <f>SUM(F92+F69+F44+F21)</f>
        <v>291953</v>
      </c>
      <c r="G198" s="468">
        <f>SUM(G92+G69+G44+G21)</f>
        <v>384593</v>
      </c>
      <c r="H198" s="468">
        <f>SUM(H92+H69+H44+H21+H115)</f>
        <v>337564</v>
      </c>
      <c r="I198" s="468">
        <f>SUM(I92+I69+I44+I21+I115+I138+I163+I186)</f>
        <v>543455</v>
      </c>
      <c r="J198" s="468">
        <f>SUM(J92+J69+J44+J21+J115+J138+J163+J186)</f>
        <v>601767</v>
      </c>
      <c r="K198" s="468">
        <f>SUM(K92+K69+K44+K21+K115+K138+K163+K186)</f>
        <v>540857</v>
      </c>
      <c r="L198" s="468">
        <f t="shared" si="50"/>
        <v>89.87814220454095</v>
      </c>
    </row>
    <row r="199" spans="1:12" ht="29.25" x14ac:dyDescent="0.25">
      <c r="A199" s="464"/>
      <c r="B199" s="465"/>
      <c r="C199" s="466"/>
      <c r="D199" s="467" t="s">
        <v>648</v>
      </c>
      <c r="E199" s="468">
        <f>SUM(E102+E79+E54+E31)</f>
        <v>365650</v>
      </c>
      <c r="F199" s="468">
        <f>SUM(F102+F79+F54+F31)</f>
        <v>291953</v>
      </c>
      <c r="G199" s="468">
        <f>SUM(G102+G79+G54+G31)</f>
        <v>384593</v>
      </c>
      <c r="H199" s="468">
        <f>SUM(H102+H79+H54+H31+H125)</f>
        <v>337564</v>
      </c>
      <c r="I199" s="468">
        <f>SUM(I102+I79+I54+I31+I125+I148+I173+I196)</f>
        <v>543455</v>
      </c>
      <c r="J199" s="468">
        <f>SUM(J102+J79+J54+J31+J125+J148+J173+J196)</f>
        <v>601767</v>
      </c>
      <c r="K199" s="468">
        <f>SUM(K102+K79+K54+K31+K125+K148+K173+K196)</f>
        <v>540857</v>
      </c>
      <c r="L199" s="468">
        <f t="shared" si="50"/>
        <v>89.87814220454095</v>
      </c>
    </row>
    <row r="200" spans="1:12" ht="16.5" x14ac:dyDescent="0.25">
      <c r="A200" s="464"/>
      <c r="B200" s="465"/>
      <c r="C200" s="466"/>
      <c r="D200" s="467" t="s">
        <v>649</v>
      </c>
      <c r="E200" s="468">
        <f>SUM(E103,E80,E55,E32)</f>
        <v>58.5</v>
      </c>
      <c r="F200" s="468">
        <f>SUM(F103,F80,F55,F32)</f>
        <v>62</v>
      </c>
      <c r="G200" s="468">
        <f>SUM(G103,G80,G55,G32)</f>
        <v>62</v>
      </c>
      <c r="H200" s="468">
        <f>SUM(H103,H80,H55,H32,H126)</f>
        <v>69</v>
      </c>
      <c r="I200" s="468">
        <f>SUM(I197+I174+I149+I126+I103+I80+I55+I32)</f>
        <v>73</v>
      </c>
      <c r="J200" s="468">
        <f>SUM(J197+J174+J149+J126+J103+J80+J55+J32)</f>
        <v>73</v>
      </c>
      <c r="K200" s="468">
        <f>SUM(K197+K174+K149+K126+K103+K80+K55+K32)</f>
        <v>73</v>
      </c>
      <c r="L200" s="468"/>
    </row>
    <row r="201" spans="1:12" ht="16.5" x14ac:dyDescent="0.25">
      <c r="A201" s="469"/>
      <c r="B201" s="443"/>
      <c r="C201" s="444"/>
      <c r="D201" s="470"/>
      <c r="E201" s="471"/>
      <c r="F201" s="471"/>
      <c r="G201" s="471"/>
      <c r="H201" s="471"/>
      <c r="I201" s="471"/>
      <c r="J201" s="471"/>
      <c r="K201" s="471"/>
      <c r="L201" s="471"/>
    </row>
    <row r="202" spans="1:12" ht="16.5" x14ac:dyDescent="0.25">
      <c r="A202" s="469"/>
      <c r="B202" s="443"/>
      <c r="C202" s="444"/>
      <c r="D202" s="470"/>
      <c r="E202" s="471"/>
      <c r="F202" s="471"/>
      <c r="G202" s="471"/>
      <c r="H202" s="471"/>
      <c r="I202" s="471"/>
      <c r="J202" s="471"/>
      <c r="K202" s="471"/>
      <c r="L202" s="471"/>
    </row>
    <row r="203" spans="1:12" ht="16.5" x14ac:dyDescent="0.25">
      <c r="A203" s="469"/>
      <c r="B203" s="443"/>
      <c r="C203" s="444"/>
      <c r="D203" s="470"/>
      <c r="E203" s="471"/>
      <c r="F203" s="471"/>
      <c r="G203" s="471"/>
      <c r="H203" s="471"/>
      <c r="I203" s="471"/>
      <c r="J203" s="471"/>
      <c r="K203" s="471"/>
      <c r="L203" s="471"/>
    </row>
    <row r="204" spans="1:12" ht="16.5" x14ac:dyDescent="0.25">
      <c r="A204" s="469"/>
      <c r="B204" s="443"/>
      <c r="C204" s="444"/>
      <c r="D204" s="470"/>
      <c r="E204" s="471"/>
      <c r="F204" s="471"/>
      <c r="G204" s="471"/>
      <c r="H204" s="471"/>
      <c r="I204" s="471"/>
      <c r="J204" s="471"/>
      <c r="K204" s="471"/>
      <c r="L204" s="471"/>
    </row>
    <row r="205" spans="1:12" ht="16.5" x14ac:dyDescent="0.25">
      <c r="A205" s="469"/>
      <c r="B205" s="443"/>
      <c r="C205" s="444"/>
      <c r="D205" s="470"/>
      <c r="E205" s="471"/>
      <c r="F205" s="471"/>
      <c r="G205" s="471"/>
      <c r="H205" s="471"/>
      <c r="I205" s="471"/>
      <c r="J205" s="471"/>
      <c r="K205" s="471"/>
      <c r="L205" s="471"/>
    </row>
    <row r="206" spans="1:12" ht="16.5" x14ac:dyDescent="0.25">
      <c r="A206" s="469"/>
      <c r="B206" s="443"/>
      <c r="C206" s="444"/>
      <c r="D206" s="470"/>
      <c r="E206" s="471"/>
      <c r="F206" s="471"/>
      <c r="G206" s="471"/>
      <c r="H206" s="471"/>
      <c r="I206" s="471"/>
      <c r="J206" s="471"/>
      <c r="K206" s="471"/>
      <c r="L206" s="471"/>
    </row>
    <row r="207" spans="1:12" ht="16.5" x14ac:dyDescent="0.25">
      <c r="A207" s="469"/>
      <c r="B207" s="443"/>
      <c r="C207" s="444"/>
      <c r="D207" s="470"/>
      <c r="E207" s="471"/>
      <c r="F207" s="471"/>
      <c r="G207" s="471"/>
      <c r="H207" s="471"/>
      <c r="I207" s="471"/>
      <c r="J207" s="471"/>
      <c r="K207" s="471"/>
      <c r="L207" s="471"/>
    </row>
    <row r="208" spans="1:12" ht="16.5" x14ac:dyDescent="0.25">
      <c r="A208" s="469"/>
      <c r="B208" s="443"/>
      <c r="C208" s="444"/>
      <c r="D208" s="470"/>
      <c r="E208" s="471"/>
      <c r="F208" s="471"/>
      <c r="G208" s="471"/>
      <c r="H208" s="471"/>
      <c r="I208" s="471"/>
      <c r="J208" s="471"/>
      <c r="K208" s="471"/>
      <c r="L208" s="471"/>
    </row>
    <row r="209" spans="1:25" ht="17.25" x14ac:dyDescent="0.3">
      <c r="A209" s="469"/>
      <c r="B209" s="443"/>
      <c r="C209" s="444"/>
      <c r="D209" s="472"/>
      <c r="E209" s="471"/>
      <c r="F209" s="471"/>
      <c r="G209" s="471"/>
      <c r="H209" s="471"/>
      <c r="I209" s="471"/>
      <c r="J209" s="471"/>
      <c r="K209" s="471"/>
      <c r="L209" s="471"/>
    </row>
    <row r="213" spans="1:25" x14ac:dyDescent="0.2">
      <c r="Y213" s="168"/>
    </row>
    <row r="214" spans="1:25" x14ac:dyDescent="0.2">
      <c r="Y214" s="168"/>
    </row>
    <row r="215" spans="1:25" x14ac:dyDescent="0.2">
      <c r="Y215" s="168"/>
    </row>
    <row r="216" spans="1:25" x14ac:dyDescent="0.2">
      <c r="Y216" s="168"/>
    </row>
    <row r="217" spans="1:25" x14ac:dyDescent="0.2">
      <c r="Y217" s="168"/>
    </row>
    <row r="218" spans="1:25" x14ac:dyDescent="0.2">
      <c r="E218" s="216" t="e">
        <f>SUM(#REF!-#REF!)</f>
        <v>#REF!</v>
      </c>
      <c r="F218" s="216" t="e">
        <f>SUM(#REF!-#REF!)</f>
        <v>#REF!</v>
      </c>
      <c r="Y218" s="168"/>
    </row>
    <row r="219" spans="1:25" x14ac:dyDescent="0.2">
      <c r="Y219" s="168"/>
    </row>
    <row r="220" spans="1:25" x14ac:dyDescent="0.2">
      <c r="Y220" s="168"/>
    </row>
    <row r="221" spans="1:25" x14ac:dyDescent="0.2">
      <c r="Y221" s="168"/>
    </row>
    <row r="222" spans="1:25" x14ac:dyDescent="0.2">
      <c r="Y222" s="168"/>
    </row>
    <row r="223" spans="1:25" x14ac:dyDescent="0.2">
      <c r="Y223" s="168"/>
    </row>
    <row r="224" spans="1:25" x14ac:dyDescent="0.2">
      <c r="Y224" s="168"/>
    </row>
    <row r="225" spans="25:25" x14ac:dyDescent="0.2">
      <c r="Y225" s="168"/>
    </row>
    <row r="226" spans="25:25" x14ac:dyDescent="0.2">
      <c r="Y226" s="168"/>
    </row>
    <row r="227" spans="25:25" x14ac:dyDescent="0.2">
      <c r="Y227" s="168"/>
    </row>
    <row r="228" spans="25:25" x14ac:dyDescent="0.2">
      <c r="Y228" s="168"/>
    </row>
    <row r="229" spans="25:25" x14ac:dyDescent="0.2">
      <c r="Y229" s="168"/>
    </row>
    <row r="230" spans="25:25" x14ac:dyDescent="0.2">
      <c r="Y230" s="168"/>
    </row>
    <row r="231" spans="25:25" x14ac:dyDescent="0.2">
      <c r="Y231" s="168"/>
    </row>
    <row r="232" spans="25:25" x14ac:dyDescent="0.2">
      <c r="Y232" s="168"/>
    </row>
    <row r="233" spans="25:25" x14ac:dyDescent="0.2">
      <c r="Y233" s="168"/>
    </row>
    <row r="234" spans="25:25" x14ac:dyDescent="0.2">
      <c r="Y234" s="168"/>
    </row>
    <row r="235" spans="25:25" x14ac:dyDescent="0.2">
      <c r="Y235" s="168"/>
    </row>
    <row r="236" spans="25:25" x14ac:dyDescent="0.2">
      <c r="Y236" s="168"/>
    </row>
  </sheetData>
  <sheetProtection selectLockedCells="1" selectUnlockedCells="1"/>
  <mergeCells count="18">
    <mergeCell ref="A1:C1"/>
    <mergeCell ref="D2:H2"/>
    <mergeCell ref="D4:H4"/>
    <mergeCell ref="D22:H22"/>
    <mergeCell ref="D34:H34"/>
    <mergeCell ref="D45:H45"/>
    <mergeCell ref="D57:H57"/>
    <mergeCell ref="D70:H70"/>
    <mergeCell ref="D82:H82"/>
    <mergeCell ref="D93:H93"/>
    <mergeCell ref="D164:H164"/>
    <mergeCell ref="D176:H176"/>
    <mergeCell ref="D187:H187"/>
    <mergeCell ref="D105:H105"/>
    <mergeCell ref="D116:H116"/>
    <mergeCell ref="D128:H128"/>
    <mergeCell ref="D139:H139"/>
    <mergeCell ref="D151:H151"/>
  </mergeCells>
  <printOptions horizontalCentered="1"/>
  <pageMargins left="0" right="0" top="1.1417322834645669" bottom="0.19685039370078741" header="0.43307086614173229" footer="0.11811023622047245"/>
  <pageSetup paperSize="9" firstPageNumber="89" orientation="portrait" r:id="rId1"/>
  <headerFooter alignWithMargins="0">
    <oddHeader>&amp;C&amp;"Times New Roman,Félkövér"&amp;14Gazdasági szervezettel rendelkező intézmény 
2014. évi bevételei és kiadásai&amp;R&amp;"Times New Roman,Normál"&amp;12 5.10.1.  sz. melléklet
Ezer Ft</oddHeader>
    <oddFooter>&amp;C- &amp;P -</oddFooter>
  </headerFooter>
  <rowBreaks count="7" manualBreakCount="7">
    <brk id="32" max="11" man="1"/>
    <brk id="55" max="16383" man="1"/>
    <brk id="80" max="11" man="1"/>
    <brk id="103" max="16383" man="1"/>
    <brk id="126" max="11" man="1"/>
    <brk id="149" max="16383" man="1"/>
    <brk id="174" max="11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zoomScaleNormal="110" zoomScaleSheetLayoutView="100" workbookViewId="0">
      <selection activeCell="E6" sqref="E6"/>
    </sheetView>
  </sheetViews>
  <sheetFormatPr defaultRowHeight="12.75" x14ac:dyDescent="0.2"/>
  <cols>
    <col min="1" max="1" width="3.83203125" style="11" customWidth="1"/>
    <col min="2" max="2" width="5" style="11" customWidth="1"/>
    <col min="3" max="3" width="3" style="11" customWidth="1"/>
    <col min="4" max="4" width="46.1640625" style="12" customWidth="1"/>
    <col min="5" max="5" width="15.6640625" style="11" customWidth="1"/>
    <col min="6" max="6" width="14.1640625" style="11" customWidth="1"/>
    <col min="7" max="7" width="18" style="11" customWidth="1"/>
    <col min="8" max="8" width="16.6640625" style="11" customWidth="1"/>
    <col min="9" max="9" width="18.83203125" style="473" customWidth="1"/>
    <col min="10" max="11" width="16.6640625" style="11" hidden="1" customWidth="1"/>
    <col min="12" max="12" width="10.5" style="11" hidden="1" customWidth="1"/>
    <col min="13" max="14" width="12.83203125" style="11" customWidth="1"/>
    <col min="15" max="15" width="13.83203125" style="11" customWidth="1"/>
    <col min="16" max="16384" width="9.33203125" style="11"/>
  </cols>
  <sheetData>
    <row r="1" spans="1:18" ht="14.25" thickBot="1" x14ac:dyDescent="0.3">
      <c r="D1" s="474"/>
      <c r="E1" s="473"/>
      <c r="F1" s="473"/>
      <c r="G1" s="473"/>
      <c r="H1" s="473"/>
      <c r="I1" s="475"/>
      <c r="J1" s="473"/>
      <c r="K1" s="473"/>
      <c r="L1" s="473"/>
    </row>
    <row r="2" spans="1:18" s="17" customFormat="1" ht="61.5" customHeight="1" x14ac:dyDescent="0.2">
      <c r="A2" s="1563" t="s">
        <v>0</v>
      </c>
      <c r="B2" s="1563"/>
      <c r="C2" s="1563"/>
      <c r="D2" s="476" t="s">
        <v>665</v>
      </c>
      <c r="E2" s="476" t="s">
        <v>650</v>
      </c>
      <c r="F2" s="476" t="s">
        <v>651</v>
      </c>
      <c r="G2" s="476" t="s">
        <v>1427</v>
      </c>
      <c r="H2" s="476" t="s">
        <v>1421</v>
      </c>
      <c r="I2" s="782" t="s">
        <v>1426</v>
      </c>
      <c r="J2" s="476" t="s">
        <v>1331</v>
      </c>
      <c r="K2" s="476" t="s">
        <v>1330</v>
      </c>
      <c r="L2" s="476" t="s">
        <v>1</v>
      </c>
    </row>
    <row r="3" spans="1:18" s="473" customFormat="1" ht="12" customHeight="1" x14ac:dyDescent="0.2">
      <c r="A3" s="477"/>
      <c r="B3" s="478"/>
      <c r="C3" s="478"/>
      <c r="D3" s="479">
        <v>1</v>
      </c>
      <c r="E3" s="479">
        <v>2</v>
      </c>
      <c r="F3" s="479">
        <v>3</v>
      </c>
      <c r="G3" s="479">
        <v>4</v>
      </c>
      <c r="H3" s="479">
        <v>5</v>
      </c>
      <c r="I3" s="480" t="s">
        <v>652</v>
      </c>
      <c r="J3" s="479">
        <v>7</v>
      </c>
      <c r="K3" s="479">
        <v>8</v>
      </c>
      <c r="L3" s="479">
        <v>9</v>
      </c>
    </row>
    <row r="4" spans="1:18" s="473" customFormat="1" ht="19.5" customHeight="1" x14ac:dyDescent="0.2">
      <c r="A4" s="481" t="s">
        <v>2</v>
      </c>
      <c r="B4" s="482"/>
      <c r="C4" s="482"/>
      <c r="D4" s="783" t="s">
        <v>653</v>
      </c>
      <c r="E4" s="810">
        <f>SUM(E5:E5)</f>
        <v>0</v>
      </c>
      <c r="F4" s="810"/>
      <c r="G4" s="810">
        <f>SUM(G5:G5)</f>
        <v>0</v>
      </c>
      <c r="H4" s="810">
        <f>SUM(H5:H5)</f>
        <v>15000</v>
      </c>
      <c r="I4" s="484"/>
      <c r="J4" s="485">
        <f>SUM(J5:J5)</f>
        <v>25000</v>
      </c>
      <c r="K4" s="485">
        <f>SUM(K5:K5)</f>
        <v>10617</v>
      </c>
      <c r="L4" s="742">
        <f t="shared" ref="L4:L5" si="0">K4/J4*100</f>
        <v>42.468000000000004</v>
      </c>
    </row>
    <row r="5" spans="1:18" ht="15.95" customHeight="1" x14ac:dyDescent="0.25">
      <c r="A5" s="487"/>
      <c r="B5" s="488" t="s">
        <v>654</v>
      </c>
      <c r="C5" s="784"/>
      <c r="D5" s="785" t="s">
        <v>1100</v>
      </c>
      <c r="E5" s="786"/>
      <c r="F5" s="811"/>
      <c r="G5" s="486"/>
      <c r="H5" s="804">
        <v>15000</v>
      </c>
      <c r="I5" s="728"/>
      <c r="J5" s="786">
        <v>25000</v>
      </c>
      <c r="K5" s="953">
        <v>10617</v>
      </c>
      <c r="L5" s="743">
        <f t="shared" si="0"/>
        <v>42.468000000000004</v>
      </c>
    </row>
    <row r="6" spans="1:18" s="473" customFormat="1" ht="19.5" customHeight="1" x14ac:dyDescent="0.2">
      <c r="A6" s="922" t="s">
        <v>3</v>
      </c>
      <c r="B6" s="482"/>
      <c r="C6" s="482"/>
      <c r="D6" s="783" t="s">
        <v>1313</v>
      </c>
      <c r="E6" s="810"/>
      <c r="F6" s="810"/>
      <c r="G6" s="810"/>
      <c r="H6" s="810"/>
      <c r="I6" s="484"/>
      <c r="J6" s="485">
        <f>J7</f>
        <v>0</v>
      </c>
      <c r="K6" s="485">
        <f>K7</f>
        <v>481</v>
      </c>
      <c r="L6" s="742" t="e">
        <f>K6/J6*100</f>
        <v>#DIV/0!</v>
      </c>
    </row>
    <row r="7" spans="1:18" s="473" customFormat="1" ht="19.5" customHeight="1" x14ac:dyDescent="0.2">
      <c r="A7" s="1566" t="s">
        <v>141</v>
      </c>
      <c r="B7" s="1567"/>
      <c r="C7" s="1568"/>
      <c r="D7" s="783" t="s">
        <v>623</v>
      </c>
      <c r="E7" s="810"/>
      <c r="F7" s="810"/>
      <c r="G7" s="810"/>
      <c r="H7" s="810"/>
      <c r="I7" s="484"/>
      <c r="J7" s="485">
        <f>SUM(J8:J11)</f>
        <v>0</v>
      </c>
      <c r="K7" s="485">
        <f>SUM(K8:K11)</f>
        <v>481</v>
      </c>
      <c r="L7" s="742" t="e">
        <f>K7/J7*100</f>
        <v>#DIV/0!</v>
      </c>
    </row>
    <row r="8" spans="1:18" ht="15.75" x14ac:dyDescent="0.25">
      <c r="A8" s="487"/>
      <c r="B8" s="788" t="s">
        <v>239</v>
      </c>
      <c r="C8" s="489"/>
      <c r="D8" s="506" t="s">
        <v>1303</v>
      </c>
      <c r="E8" s="790"/>
      <c r="F8" s="790"/>
      <c r="G8" s="790"/>
      <c r="H8" s="790"/>
      <c r="I8" s="728"/>
      <c r="J8" s="791">
        <v>0</v>
      </c>
      <c r="K8" s="791">
        <v>365</v>
      </c>
      <c r="L8" s="792" t="e">
        <f>K8/J8*100</f>
        <v>#DIV/0!</v>
      </c>
    </row>
    <row r="9" spans="1:18" ht="15.75" x14ac:dyDescent="0.25">
      <c r="A9" s="487"/>
      <c r="B9" s="788" t="s">
        <v>255</v>
      </c>
      <c r="C9" s="489"/>
      <c r="D9" s="790" t="s">
        <v>1411</v>
      </c>
      <c r="E9" s="790"/>
      <c r="F9" s="790"/>
      <c r="G9" s="790"/>
      <c r="H9" s="790"/>
      <c r="I9" s="728"/>
      <c r="J9" s="791">
        <v>0</v>
      </c>
      <c r="K9" s="791">
        <v>116</v>
      </c>
      <c r="L9" s="792" t="e">
        <f t="shared" ref="L9:L10" si="1">K9/J9*100</f>
        <v>#DIV/0!</v>
      </c>
    </row>
    <row r="10" spans="1:18" ht="15.75" x14ac:dyDescent="0.25">
      <c r="A10" s="487"/>
      <c r="B10" s="788" t="s">
        <v>212</v>
      </c>
      <c r="C10" s="489"/>
      <c r="D10" s="789"/>
      <c r="E10" s="790"/>
      <c r="F10" s="790"/>
      <c r="G10" s="790"/>
      <c r="H10" s="790"/>
      <c r="I10" s="728"/>
      <c r="J10" s="791">
        <v>0</v>
      </c>
      <c r="K10" s="791"/>
      <c r="L10" s="792" t="e">
        <f t="shared" si="1"/>
        <v>#DIV/0!</v>
      </c>
      <c r="M10" s="1564"/>
      <c r="N10" s="1565"/>
      <c r="O10" s="1565"/>
      <c r="P10" s="1565"/>
      <c r="Q10" s="1565"/>
      <c r="R10" s="1565"/>
    </row>
    <row r="11" spans="1:18" ht="15.75" hidden="1" x14ac:dyDescent="0.25">
      <c r="A11" s="487"/>
      <c r="B11" s="788"/>
      <c r="C11" s="489"/>
      <c r="D11" s="789"/>
      <c r="E11" s="790"/>
      <c r="F11" s="790"/>
      <c r="G11" s="790"/>
      <c r="H11" s="790"/>
      <c r="I11" s="728">
        <f>E11-G11-H11</f>
        <v>0</v>
      </c>
      <c r="J11" s="791"/>
      <c r="K11" s="791"/>
      <c r="L11" s="792"/>
      <c r="M11" s="1564"/>
      <c r="N11" s="1565"/>
      <c r="O11" s="1565"/>
      <c r="P11" s="1565"/>
      <c r="Q11" s="1565"/>
      <c r="R11" s="1565"/>
    </row>
    <row r="12" spans="1:18" ht="15.75" hidden="1" x14ac:dyDescent="0.25">
      <c r="A12" s="487"/>
      <c r="B12" s="788"/>
      <c r="C12" s="489"/>
      <c r="D12" s="789"/>
      <c r="E12" s="790"/>
      <c r="F12" s="790"/>
      <c r="G12" s="790"/>
      <c r="H12" s="790"/>
      <c r="I12" s="728">
        <f>E12-G12-H12</f>
        <v>0</v>
      </c>
      <c r="J12" s="791"/>
      <c r="K12" s="791"/>
      <c r="L12" s="792"/>
      <c r="M12" s="1564"/>
      <c r="N12" s="1565"/>
      <c r="O12" s="1565"/>
      <c r="P12" s="1565"/>
      <c r="Q12" s="1565"/>
      <c r="R12" s="1565"/>
    </row>
    <row r="13" spans="1:18" s="493" customFormat="1" ht="15.95" hidden="1" customHeight="1" x14ac:dyDescent="0.25">
      <c r="A13" s="491"/>
      <c r="B13" s="793"/>
      <c r="C13" s="492"/>
      <c r="D13" s="789"/>
      <c r="E13" s="794"/>
      <c r="F13" s="794"/>
      <c r="G13" s="794"/>
      <c r="H13" s="794"/>
      <c r="I13" s="728">
        <f t="shared" ref="I13" si="2">E13-G13-H13</f>
        <v>0</v>
      </c>
      <c r="J13" s="795"/>
      <c r="K13" s="795"/>
      <c r="L13" s="796"/>
    </row>
    <row r="14" spans="1:18" ht="15.95" hidden="1" customHeight="1" x14ac:dyDescent="0.25">
      <c r="A14" s="487"/>
      <c r="B14" s="788"/>
      <c r="C14" s="489"/>
      <c r="D14" s="797"/>
      <c r="E14" s="790"/>
      <c r="F14" s="790"/>
      <c r="G14" s="790"/>
      <c r="H14" s="790"/>
      <c r="I14" s="728"/>
      <c r="J14" s="791"/>
      <c r="K14" s="791"/>
      <c r="L14" s="792"/>
    </row>
    <row r="15" spans="1:18" ht="15.95" hidden="1" customHeight="1" x14ac:dyDescent="0.25">
      <c r="A15" s="487"/>
      <c r="B15" s="788"/>
      <c r="C15" s="489"/>
      <c r="D15" s="798"/>
      <c r="E15" s="790"/>
      <c r="F15" s="790"/>
      <c r="G15" s="790"/>
      <c r="H15" s="790"/>
      <c r="I15" s="728"/>
      <c r="J15" s="791"/>
      <c r="K15" s="791"/>
      <c r="L15" s="792"/>
    </row>
    <row r="16" spans="1:18" ht="15.95" hidden="1" customHeight="1" x14ac:dyDescent="0.25">
      <c r="A16" s="487"/>
      <c r="B16" s="488"/>
      <c r="C16" s="489"/>
      <c r="D16" s="486"/>
      <c r="E16" s="486"/>
      <c r="F16" s="486"/>
      <c r="G16" s="486"/>
      <c r="H16" s="486"/>
      <c r="I16" s="728"/>
      <c r="J16" s="490"/>
      <c r="K16" s="490"/>
      <c r="L16" s="743"/>
    </row>
    <row r="17" spans="1:12" ht="15.95" hidden="1" customHeight="1" x14ac:dyDescent="0.25">
      <c r="A17" s="487"/>
      <c r="B17" s="488"/>
      <c r="C17" s="489"/>
      <c r="D17" s="486"/>
      <c r="E17" s="486"/>
      <c r="F17" s="486"/>
      <c r="G17" s="486"/>
      <c r="H17" s="486"/>
      <c r="I17" s="728"/>
      <c r="J17" s="490"/>
      <c r="K17" s="490"/>
      <c r="L17" s="743"/>
    </row>
    <row r="18" spans="1:12" s="494" customFormat="1" ht="18" customHeight="1" x14ac:dyDescent="0.2">
      <c r="A18" s="483"/>
      <c r="B18" s="483"/>
      <c r="C18" s="483"/>
      <c r="D18" s="483" t="s">
        <v>664</v>
      </c>
      <c r="E18" s="485">
        <f>SUM(E5:E17)</f>
        <v>0</v>
      </c>
      <c r="F18" s="483"/>
      <c r="G18" s="483">
        <f>SUM(G5:G17)</f>
        <v>0</v>
      </c>
      <c r="H18" s="485">
        <f>SUM(H5:H17)</f>
        <v>15000</v>
      </c>
      <c r="I18" s="485">
        <f>SUM(I5:I17)</f>
        <v>0</v>
      </c>
      <c r="J18" s="485">
        <f>SUM(J4+J6)</f>
        <v>25000</v>
      </c>
      <c r="K18" s="485">
        <f>SUM(K4+K6)</f>
        <v>11098</v>
      </c>
      <c r="L18" s="742">
        <f>K18/J18*100</f>
        <v>44.391999999999996</v>
      </c>
    </row>
    <row r="20" spans="1:12" ht="18.75" x14ac:dyDescent="0.2">
      <c r="F20" s="960" t="s">
        <v>1372</v>
      </c>
      <c r="G20" s="960" t="s">
        <v>1373</v>
      </c>
      <c r="H20" s="960" t="s">
        <v>1374</v>
      </c>
    </row>
    <row r="21" spans="1:12" s="959" customFormat="1" ht="18.75" x14ac:dyDescent="0.2">
      <c r="D21" s="960" t="s">
        <v>1371</v>
      </c>
      <c r="F21" s="959">
        <f>SUM(H4+'6.2.sz.mell.'!H3)</f>
        <v>145500</v>
      </c>
      <c r="G21" s="959">
        <f>SUM(J4+'6.2.sz.mell.'!J3)</f>
        <v>620591</v>
      </c>
      <c r="H21" s="959">
        <f>SUM(K4+'6.2.sz.mell.'!K3)</f>
        <v>403712</v>
      </c>
      <c r="I21" s="961"/>
    </row>
    <row r="22" spans="1:12" s="959" customFormat="1" ht="18.75" x14ac:dyDescent="0.2">
      <c r="D22" s="960" t="s">
        <v>1375</v>
      </c>
      <c r="I22" s="961"/>
    </row>
    <row r="23" spans="1:12" s="959" customFormat="1" ht="18.75" x14ac:dyDescent="0.2">
      <c r="D23" s="960" t="s">
        <v>1376</v>
      </c>
      <c r="F23" s="959">
        <f>SUM(H7+'6.2.sz.mell.'!H104-'6.2.sz.mell.'!H105)</f>
        <v>0</v>
      </c>
      <c r="G23" s="959">
        <f>SUM(J6+'6.2.sz.mell.'!J104-'6.2.sz.mell.'!J105)</f>
        <v>9536</v>
      </c>
      <c r="I23" s="961"/>
    </row>
    <row r="24" spans="1:12" s="959" customFormat="1" ht="18.75" x14ac:dyDescent="0.2">
      <c r="D24" s="960"/>
      <c r="I24" s="961"/>
    </row>
    <row r="25" spans="1:12" s="326" customFormat="1" ht="15.75" x14ac:dyDescent="0.2">
      <c r="D25" s="958"/>
      <c r="I25" s="324"/>
    </row>
    <row r="26" spans="1:12" s="326" customFormat="1" ht="15.75" x14ac:dyDescent="0.2">
      <c r="D26" s="958"/>
      <c r="I26" s="324"/>
    </row>
    <row r="27" spans="1:12" s="326" customFormat="1" ht="15.75" x14ac:dyDescent="0.2">
      <c r="D27" s="958"/>
      <c r="I27" s="324"/>
    </row>
    <row r="28" spans="1:12" s="326" customFormat="1" ht="15.75" x14ac:dyDescent="0.2">
      <c r="D28" s="958"/>
      <c r="I28" s="324"/>
    </row>
    <row r="29" spans="1:12" s="326" customFormat="1" ht="15.75" x14ac:dyDescent="0.2">
      <c r="D29" s="958"/>
      <c r="I29" s="324"/>
    </row>
    <row r="30" spans="1:12" s="326" customFormat="1" ht="15.75" x14ac:dyDescent="0.2">
      <c r="D30" s="958"/>
      <c r="I30" s="324"/>
    </row>
    <row r="31" spans="1:12" s="326" customFormat="1" ht="15.75" x14ac:dyDescent="0.2">
      <c r="D31" s="958"/>
      <c r="I31" s="324"/>
    </row>
    <row r="32" spans="1:12" s="326" customFormat="1" ht="15.75" x14ac:dyDescent="0.2">
      <c r="D32" s="958"/>
      <c r="I32" s="324"/>
    </row>
    <row r="33" spans="4:9" s="326" customFormat="1" ht="15.75" x14ac:dyDescent="0.2">
      <c r="D33" s="958"/>
      <c r="I33" s="324"/>
    </row>
  </sheetData>
  <sheetProtection selectLockedCells="1" selectUnlockedCells="1"/>
  <mergeCells count="5">
    <mergeCell ref="A2:C2"/>
    <mergeCell ref="M10:R10"/>
    <mergeCell ref="M11:R11"/>
    <mergeCell ref="M12:R12"/>
    <mergeCell ref="A7:C7"/>
  </mergeCells>
  <printOptions horizontalCentered="1"/>
  <pageMargins left="0.27559055118110237" right="0.35433070866141736" top="1.0629921259842521" bottom="0.98425196850393704" header="0.51181102362204722" footer="0.78740157480314965"/>
  <pageSetup paperSize="9" scale="85" firstPageNumber="92" orientation="landscape" r:id="rId1"/>
  <headerFooter alignWithMargins="0">
    <oddHeader>&amp;C&amp;"Times New Roman CE,Félkövér"&amp;14Vecsés Város felújítási kiadásainak előirányzata felújításonként&amp;R&amp;"Arial,Normál"&amp;12 6.1. sz. melléklet
Ezer Ft</oddHeader>
    <oddFooter xml:space="preserve">&amp;C- &amp;P -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8"/>
  <sheetViews>
    <sheetView view="pageBreakPreview" zoomScaleNormal="130" zoomScaleSheetLayoutView="100" workbookViewId="0">
      <selection activeCell="C2" sqref="C2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6384" width="9.33203125" style="76"/>
  </cols>
  <sheetData>
    <row r="1" spans="1:10" s="79" customFormat="1" ht="33.75" customHeight="1" thickBot="1" x14ac:dyDescent="0.25">
      <c r="A1" s="1521" t="s">
        <v>120</v>
      </c>
      <c r="B1" s="1522"/>
      <c r="C1" s="77" t="s">
        <v>121</v>
      </c>
      <c r="D1" s="1523" t="s">
        <v>1024</v>
      </c>
      <c r="E1" s="343"/>
      <c r="F1" s="1523" t="s">
        <v>1420</v>
      </c>
      <c r="G1" s="1306"/>
    </row>
    <row r="2" spans="1:10" s="79" customFormat="1" ht="33.75" customHeight="1" thickBot="1" x14ac:dyDescent="0.25">
      <c r="A2" s="1525" t="s">
        <v>122</v>
      </c>
      <c r="B2" s="1526"/>
      <c r="C2" s="80" t="s">
        <v>1542</v>
      </c>
      <c r="D2" s="1524"/>
      <c r="E2" s="327"/>
      <c r="F2" s="1524"/>
      <c r="G2" s="137"/>
    </row>
    <row r="3" spans="1:10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0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0" s="89" customFormat="1" ht="15" customHeight="1" thickBot="1" x14ac:dyDescent="0.25">
      <c r="A5" s="1307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0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0" s="89" customFormat="1" ht="31.5" customHeight="1" thickBot="1" x14ac:dyDescent="0.25">
      <c r="A7" s="1308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165081</v>
      </c>
      <c r="G7" s="141">
        <f>F7/E7*100</f>
        <v>8.9710133901399889</v>
      </c>
      <c r="I7" s="1135"/>
      <c r="J7" s="1135"/>
    </row>
    <row r="8" spans="1:10" s="96" customFormat="1" ht="19.5" customHeight="1" thickBot="1" x14ac:dyDescent="0.25">
      <c r="A8" s="1308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f>SUM('3.c. sz. mell '!F8)</f>
        <v>145953</v>
      </c>
      <c r="G8" s="141">
        <f t="shared" ref="G8:G46" si="2">F8/E8*100</f>
        <v>8.660172214917381</v>
      </c>
      <c r="I8" s="1135"/>
      <c r="J8" s="1135"/>
    </row>
    <row r="9" spans="1:10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2"/>
        <v>0</v>
      </c>
      <c r="I9" s="1135"/>
      <c r="J9" s="1135"/>
    </row>
    <row r="10" spans="1:10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/>
      <c r="J10" s="1135"/>
    </row>
    <row r="11" spans="1:10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/>
      <c r="G11" s="142">
        <f t="shared" si="2"/>
        <v>0</v>
      </c>
      <c r="I11" s="1135"/>
      <c r="J11" s="1135"/>
    </row>
    <row r="12" spans="1:10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/>
      <c r="G12" s="142">
        <f t="shared" si="2"/>
        <v>0</v>
      </c>
      <c r="I12" s="1135"/>
      <c r="J12" s="1135"/>
    </row>
    <row r="13" spans="1:10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/>
      <c r="J13" s="1135"/>
    </row>
    <row r="14" spans="1:10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/>
      <c r="J14" s="1135"/>
    </row>
    <row r="15" spans="1:10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/>
      <c r="J15" s="1135"/>
    </row>
    <row r="16" spans="1:10" s="96" customFormat="1" ht="18.75" customHeight="1" thickBot="1" x14ac:dyDescent="0.25">
      <c r="A16" s="1308" t="s">
        <v>12</v>
      </c>
      <c r="B16" s="94"/>
      <c r="C16" s="368" t="s">
        <v>1626</v>
      </c>
      <c r="D16" s="141">
        <f>SUM(D17:D24)</f>
        <v>77679</v>
      </c>
      <c r="E16" s="141">
        <f t="shared" ref="E16" si="3">SUM(E17:E24)</f>
        <v>154824</v>
      </c>
      <c r="F16" s="141">
        <f>SUM('3.c. sz. mell '!F16)+'4.c. sz. mell.'!F8</f>
        <v>0</v>
      </c>
      <c r="G16" s="141">
        <f t="shared" si="2"/>
        <v>0</v>
      </c>
      <c r="I16" s="1135"/>
      <c r="J16" s="1135"/>
    </row>
    <row r="17" spans="1:10" s="96" customFormat="1" ht="15" hidden="1" customHeight="1" x14ac:dyDescent="0.2">
      <c r="A17" s="1309"/>
      <c r="B17" s="98"/>
      <c r="C17" s="375"/>
      <c r="D17" s="144"/>
      <c r="E17" s="144"/>
      <c r="F17" s="141">
        <f>SUM('3.c. sz. mell '!F17)</f>
        <v>0</v>
      </c>
      <c r="G17" s="144"/>
      <c r="I17" s="1135"/>
      <c r="J17" s="1135"/>
    </row>
    <row r="18" spans="1:10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1">
        <f>SUM('3.c. sz. mell '!F18)</f>
        <v>0</v>
      </c>
      <c r="G18" s="142">
        <f t="shared" si="2"/>
        <v>0</v>
      </c>
      <c r="I18" s="1135"/>
      <c r="J18" s="1135"/>
    </row>
    <row r="19" spans="1:10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1">
        <f>SUM('3.c. sz. mell '!F19)</f>
        <v>0</v>
      </c>
      <c r="G19" s="142">
        <f t="shared" si="2"/>
        <v>0</v>
      </c>
      <c r="I19" s="1135"/>
      <c r="J19" s="1135"/>
    </row>
    <row r="20" spans="1:10" s="96" customFormat="1" ht="15" hidden="1" customHeight="1" x14ac:dyDescent="0.2">
      <c r="A20" s="97"/>
      <c r="B20" s="98"/>
      <c r="C20" s="375"/>
      <c r="D20" s="142"/>
      <c r="E20" s="142"/>
      <c r="F20" s="141">
        <f>SUM('3.c. sz. mell '!F20)</f>
        <v>0</v>
      </c>
      <c r="G20" s="142"/>
      <c r="I20" s="1135"/>
      <c r="J20" s="1135"/>
    </row>
    <row r="21" spans="1:10" s="96" customFormat="1" ht="15" hidden="1" customHeight="1" x14ac:dyDescent="0.2">
      <c r="A21" s="97"/>
      <c r="B21" s="98"/>
      <c r="C21" s="375"/>
      <c r="D21" s="142"/>
      <c r="E21" s="142"/>
      <c r="F21" s="141">
        <f>SUM('3.c. sz. mell '!F21)</f>
        <v>0</v>
      </c>
      <c r="G21" s="142"/>
      <c r="I21" s="1135"/>
      <c r="J21" s="1135"/>
    </row>
    <row r="22" spans="1:10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1">
        <f>SUM('3.c. sz. mell '!F22)</f>
        <v>0</v>
      </c>
      <c r="G22" s="143">
        <f t="shared" si="2"/>
        <v>0</v>
      </c>
      <c r="I22" s="1135"/>
      <c r="J22" s="1135"/>
    </row>
    <row r="23" spans="1:10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1">
        <f>SUM('3.c. sz. mell '!F23)</f>
        <v>0</v>
      </c>
      <c r="G23" s="142">
        <f t="shared" si="2"/>
        <v>0</v>
      </c>
      <c r="I23" s="1135"/>
      <c r="J23" s="1135"/>
    </row>
    <row r="24" spans="1:10" s="99" customFormat="1" ht="15" hidden="1" customHeight="1" thickBot="1" x14ac:dyDescent="0.25">
      <c r="A24" s="104"/>
      <c r="B24" s="105"/>
      <c r="C24" s="375"/>
      <c r="D24" s="145"/>
      <c r="E24" s="145"/>
      <c r="F24" s="141">
        <f>SUM('3.c. sz. mell '!F24)</f>
        <v>0</v>
      </c>
      <c r="G24" s="145"/>
      <c r="I24" s="1135"/>
      <c r="J24" s="1135"/>
    </row>
    <row r="25" spans="1:10" s="99" customFormat="1" ht="15" hidden="1" customHeight="1" x14ac:dyDescent="0.2">
      <c r="A25" s="1308"/>
      <c r="B25" s="106"/>
      <c r="C25" s="368"/>
      <c r="D25" s="119"/>
      <c r="E25" s="119"/>
      <c r="F25" s="141">
        <f>SUM('3.c. sz. mell '!F25)</f>
        <v>0</v>
      </c>
      <c r="G25" s="141" t="e">
        <f t="shared" si="2"/>
        <v>#DIV/0!</v>
      </c>
      <c r="I25" s="1135"/>
      <c r="J25" s="1135"/>
    </row>
    <row r="26" spans="1:10" s="96" customFormat="1" ht="21" customHeight="1" thickBot="1" x14ac:dyDescent="0.25">
      <c r="A26" s="1308" t="s">
        <v>68</v>
      </c>
      <c r="B26" s="94"/>
      <c r="C26" s="368" t="s">
        <v>1614</v>
      </c>
      <c r="D26" s="141">
        <f>SUM(D28:D33)</f>
        <v>0</v>
      </c>
      <c r="E26" s="141">
        <f>SUM(E28:E33)</f>
        <v>0</v>
      </c>
      <c r="F26" s="141">
        <f>SUM('3.c. sz. mell '!F26)+'4.c. sz. mell.'!F19</f>
        <v>19128</v>
      </c>
      <c r="G26" s="141" t="e">
        <f t="shared" si="2"/>
        <v>#DIV/0!</v>
      </c>
      <c r="I26" s="1135"/>
      <c r="J26" s="1135"/>
    </row>
    <row r="27" spans="1:10" s="96" customFormat="1" ht="21" customHeight="1" thickBot="1" x14ac:dyDescent="0.25">
      <c r="A27" s="1308" t="s">
        <v>27</v>
      </c>
      <c r="B27" s="1366"/>
      <c r="C27" s="1303" t="s">
        <v>1170</v>
      </c>
      <c r="D27" s="1367"/>
      <c r="E27" s="1367"/>
      <c r="F27" s="141">
        <f>SUM('3.c. sz. mell '!F27)</f>
        <v>0</v>
      </c>
      <c r="G27" s="1367"/>
      <c r="I27" s="1135"/>
      <c r="J27" s="1135"/>
    </row>
    <row r="28" spans="1:10" s="99" customFormat="1" ht="30.75" customHeight="1" thickBot="1" x14ac:dyDescent="0.25">
      <c r="A28" s="1308" t="s">
        <v>32</v>
      </c>
      <c r="B28" s="98"/>
      <c r="C28" s="1291" t="s">
        <v>1617</v>
      </c>
      <c r="D28" s="142"/>
      <c r="E28" s="142"/>
      <c r="F28" s="1293">
        <f>SUM(F29:F31)</f>
        <v>0</v>
      </c>
      <c r="G28" s="142" t="e">
        <f t="shared" si="2"/>
        <v>#DIV/0!</v>
      </c>
      <c r="I28" s="1135"/>
      <c r="J28" s="1135"/>
    </row>
    <row r="29" spans="1:10" s="99" customFormat="1" ht="18.75" customHeight="1" thickBot="1" x14ac:dyDescent="0.25">
      <c r="A29" s="1308" t="s">
        <v>74</v>
      </c>
      <c r="B29" s="98"/>
      <c r="C29" s="368" t="s">
        <v>1587</v>
      </c>
      <c r="D29" s="142"/>
      <c r="E29" s="142"/>
      <c r="F29" s="141">
        <f>SUM('3.c. sz. mell '!F28)</f>
        <v>0</v>
      </c>
      <c r="G29" s="142" t="e">
        <f t="shared" si="2"/>
        <v>#DIV/0!</v>
      </c>
      <c r="I29" s="1135"/>
      <c r="J29" s="1135"/>
    </row>
    <row r="30" spans="1:10" s="99" customFormat="1" ht="18.75" customHeight="1" thickBot="1" x14ac:dyDescent="0.25">
      <c r="A30" s="1308" t="s">
        <v>38</v>
      </c>
      <c r="B30" s="98"/>
      <c r="C30" s="368" t="s">
        <v>1618</v>
      </c>
      <c r="D30" s="142"/>
      <c r="E30" s="142"/>
      <c r="F30" s="141">
        <f>SUM('3.c. sz. mell '!F29)</f>
        <v>0</v>
      </c>
      <c r="G30" s="142" t="e">
        <f t="shared" si="2"/>
        <v>#DIV/0!</v>
      </c>
      <c r="I30" s="1135"/>
      <c r="J30" s="1135"/>
    </row>
    <row r="31" spans="1:10" s="99" customFormat="1" ht="18.75" customHeight="1" thickBot="1" x14ac:dyDescent="0.25">
      <c r="A31" s="1308" t="s">
        <v>88</v>
      </c>
      <c r="B31" s="98"/>
      <c r="C31" s="368" t="s">
        <v>1171</v>
      </c>
      <c r="D31" s="142"/>
      <c r="E31" s="142"/>
      <c r="F31" s="141">
        <f>SUM('3.c. sz. mell '!F30)</f>
        <v>0</v>
      </c>
      <c r="G31" s="142"/>
      <c r="I31" s="1135"/>
      <c r="J31" s="1135"/>
    </row>
    <row r="32" spans="1:10" s="99" customFormat="1" ht="21.75" customHeight="1" thickBot="1" x14ac:dyDescent="0.25">
      <c r="A32" s="1308" t="s">
        <v>41</v>
      </c>
      <c r="B32" s="98"/>
      <c r="C32" s="1291" t="s">
        <v>1619</v>
      </c>
      <c r="D32" s="142"/>
      <c r="E32" s="142"/>
      <c r="F32" s="1293">
        <f>SUM(F33)</f>
        <v>148081</v>
      </c>
      <c r="G32" s="142"/>
      <c r="I32" s="1135"/>
      <c r="J32" s="1135"/>
    </row>
    <row r="33" spans="1:10" s="99" customFormat="1" ht="16.5" customHeight="1" thickBot="1" x14ac:dyDescent="0.25">
      <c r="A33" s="1308" t="s">
        <v>42</v>
      </c>
      <c r="B33" s="98"/>
      <c r="C33" s="368" t="s">
        <v>1595</v>
      </c>
      <c r="D33" s="142"/>
      <c r="E33" s="142"/>
      <c r="F33" s="141">
        <f>SUM(F34:F35)</f>
        <v>148081</v>
      </c>
      <c r="G33" s="142"/>
      <c r="I33" s="1135"/>
      <c r="J33" s="1135"/>
    </row>
    <row r="34" spans="1:10" s="99" customFormat="1" ht="16.5" customHeight="1" thickBot="1" x14ac:dyDescent="0.25">
      <c r="A34" s="1308" t="s">
        <v>45</v>
      </c>
      <c r="B34" s="101"/>
      <c r="C34" s="1305" t="s">
        <v>1606</v>
      </c>
      <c r="D34" s="143"/>
      <c r="E34" s="143"/>
      <c r="F34" s="141"/>
      <c r="G34" s="143"/>
      <c r="I34" s="1135"/>
      <c r="J34" s="1135"/>
    </row>
    <row r="35" spans="1:10" s="99" customFormat="1" ht="16.5" customHeight="1" thickBot="1" x14ac:dyDescent="0.25">
      <c r="A35" s="1308" t="s">
        <v>46</v>
      </c>
      <c r="B35" s="101"/>
      <c r="C35" s="1305" t="s">
        <v>1628</v>
      </c>
      <c r="D35" s="143"/>
      <c r="E35" s="143"/>
      <c r="F35" s="1315">
        <f>SUM('4.c. sz. mell.'!F39+'5.c sz. mell.'!F39)</f>
        <v>148081</v>
      </c>
      <c r="G35" s="143"/>
      <c r="I35" s="1135"/>
      <c r="J35" s="1135"/>
    </row>
    <row r="36" spans="1:10" s="99" customFormat="1" ht="16.5" customHeight="1" thickBot="1" x14ac:dyDescent="0.25">
      <c r="A36" s="1308" t="s">
        <v>47</v>
      </c>
      <c r="B36" s="101"/>
      <c r="C36" s="1304" t="s">
        <v>599</v>
      </c>
      <c r="D36" s="143"/>
      <c r="E36" s="143"/>
      <c r="F36" s="1406">
        <f>SUM(F7+F28+F32)</f>
        <v>313162</v>
      </c>
      <c r="G36" s="143"/>
      <c r="I36" s="1135"/>
      <c r="J36" s="1135"/>
    </row>
    <row r="37" spans="1:10" s="99" customFormat="1" ht="16.5" customHeight="1" thickBot="1" x14ac:dyDescent="0.25">
      <c r="A37" s="1308" t="s">
        <v>91</v>
      </c>
      <c r="B37" s="101"/>
      <c r="C37" s="1303" t="s">
        <v>1624</v>
      </c>
      <c r="D37" s="143"/>
      <c r="E37" s="143"/>
      <c r="F37" s="141">
        <f>SUM(F35)</f>
        <v>148081</v>
      </c>
      <c r="G37" s="143"/>
      <c r="I37" s="1135"/>
      <c r="J37" s="1135"/>
    </row>
    <row r="38" spans="1:10" s="99" customFormat="1" ht="21" customHeight="1" thickBot="1" x14ac:dyDescent="0.25">
      <c r="A38" s="1308" t="s">
        <v>92</v>
      </c>
      <c r="B38" s="151"/>
      <c r="C38" s="9" t="s">
        <v>1627</v>
      </c>
      <c r="D38" s="152" t="e">
        <f>+#REF!+#REF!+#REF!</f>
        <v>#REF!</v>
      </c>
      <c r="E38" s="152" t="e">
        <f>+#REF!+#REF!+#REF!</f>
        <v>#REF!</v>
      </c>
      <c r="F38" s="152">
        <f>SUM(F7+F28+F32-F37)</f>
        <v>165081</v>
      </c>
      <c r="G38" s="152" t="e">
        <f t="shared" si="2"/>
        <v>#REF!</v>
      </c>
      <c r="I38" s="1135"/>
      <c r="J38" s="1135"/>
    </row>
    <row r="39" spans="1:10" s="99" customFormat="1" ht="15" customHeight="1" thickBot="1" x14ac:dyDescent="0.25">
      <c r="A39" s="153"/>
      <c r="B39" s="153"/>
      <c r="C39" s="154"/>
      <c r="D39" s="155"/>
      <c r="E39" s="155"/>
      <c r="F39" s="155"/>
      <c r="G39" s="155"/>
      <c r="I39" s="1135"/>
      <c r="J39" s="1135"/>
    </row>
    <row r="40" spans="1:10" s="89" customFormat="1" ht="20.25" customHeight="1" thickBot="1" x14ac:dyDescent="0.25">
      <c r="A40" s="156"/>
      <c r="B40" s="157"/>
      <c r="C40" s="121" t="s">
        <v>82</v>
      </c>
      <c r="D40" s="122"/>
      <c r="E40" s="122"/>
      <c r="F40" s="122"/>
      <c r="G40" s="122"/>
      <c r="I40" s="1135"/>
      <c r="J40" s="1135"/>
    </row>
    <row r="41" spans="1:10" s="125" customFormat="1" ht="15" customHeight="1" thickBot="1" x14ac:dyDescent="0.25">
      <c r="A41" s="1308" t="s">
        <v>2</v>
      </c>
      <c r="B41" s="2"/>
      <c r="C41" s="10" t="s">
        <v>1620</v>
      </c>
      <c r="D41" s="141">
        <f>SUM(D42:D46)+D55</f>
        <v>873535</v>
      </c>
      <c r="E41" s="141">
        <f t="shared" ref="E41" si="4">SUM(E42:E46)+E55</f>
        <v>1045962</v>
      </c>
      <c r="F41" s="141">
        <f>SUM(F42:F46)</f>
        <v>165081</v>
      </c>
      <c r="G41" s="141">
        <f t="shared" si="2"/>
        <v>15.782695738468512</v>
      </c>
      <c r="I41" s="1135"/>
      <c r="J41" s="1135"/>
    </row>
    <row r="42" spans="1:10" ht="15" customHeight="1" x14ac:dyDescent="0.2">
      <c r="A42" s="113"/>
      <c r="B42" s="124" t="s">
        <v>50</v>
      </c>
      <c r="C42" s="3" t="s">
        <v>51</v>
      </c>
      <c r="D42" s="147">
        <f>SUM('3.2.sz.melléklet'!E173+'3.2.sz.melléklet'!E191+'3.2.sz.melléklet'!E196+'3.2.sz.melléklet'!E216)</f>
        <v>16170</v>
      </c>
      <c r="E42" s="147">
        <f>SUM('3.2.sz.melléklet'!F173+'3.2.sz.melléklet'!F191+'3.2.sz.melléklet'!F196+'3.2.sz.melléklet'!F216)</f>
        <v>49543</v>
      </c>
      <c r="F42" s="147">
        <f>SUM('3.c. sz. mell '!F37+'4.c. sz. mell.'!F47)</f>
        <v>50453</v>
      </c>
      <c r="G42" s="147">
        <f t="shared" si="2"/>
        <v>101.83678824455524</v>
      </c>
      <c r="I42" s="1135"/>
      <c r="J42" s="1135"/>
    </row>
    <row r="43" spans="1:10" ht="15" customHeight="1" x14ac:dyDescent="0.2">
      <c r="A43" s="97"/>
      <c r="B43" s="109" t="s">
        <v>52</v>
      </c>
      <c r="C43" s="3" t="s">
        <v>53</v>
      </c>
      <c r="D43" s="142">
        <f>SUM('3.2.sz.melléklet'!E7+'3.2.sz.melléklet'!E174+'3.2.sz.melléklet'!E192+'3.2.sz.melléklet'!E197+'3.2.sz.melléklet'!E217)</f>
        <v>10003</v>
      </c>
      <c r="E43" s="142">
        <f>SUM('3.2.sz.melléklet'!F7+'3.2.sz.melléklet'!F174+'3.2.sz.melléklet'!F192+'3.2.sz.melléklet'!F197+'3.2.sz.melléklet'!F217)</f>
        <v>17364</v>
      </c>
      <c r="F43" s="147">
        <f>SUM('3.c. sz. mell '!F38+'4.c. sz. mell.'!F48)</f>
        <v>13617</v>
      </c>
      <c r="G43" s="142">
        <f t="shared" si="2"/>
        <v>78.420870767104361</v>
      </c>
      <c r="I43" s="1135"/>
      <c r="J43" s="1135"/>
    </row>
    <row r="44" spans="1:10" ht="15" customHeight="1" x14ac:dyDescent="0.2">
      <c r="A44" s="97"/>
      <c r="B44" s="109" t="s">
        <v>54</v>
      </c>
      <c r="C44" s="3" t="s">
        <v>55</v>
      </c>
      <c r="D44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44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44" s="147">
        <f>SUM('3.c. sz. mell '!F39+'4.c. sz. mell.'!F49)</f>
        <v>84011</v>
      </c>
      <c r="G44" s="142">
        <f t="shared" si="2"/>
        <v>11.12623845969452</v>
      </c>
      <c r="I44" s="1135"/>
      <c r="J44" s="1135"/>
    </row>
    <row r="45" spans="1:10" ht="15" customHeight="1" x14ac:dyDescent="0.2">
      <c r="A45" s="97"/>
      <c r="B45" s="109" t="s">
        <v>56</v>
      </c>
      <c r="C45" s="3" t="s">
        <v>57</v>
      </c>
      <c r="D45" s="142">
        <f>SUM('3.2.sz.melléklet'!E116)</f>
        <v>17000</v>
      </c>
      <c r="E45" s="142">
        <f>SUM('3.2.sz.melléklet'!F116)</f>
        <v>17000</v>
      </c>
      <c r="F45" s="147">
        <f>SUM('3.c. sz. mell '!F40+'4.c. sz. mell.'!F53)</f>
        <v>17000</v>
      </c>
      <c r="G45" s="142">
        <f t="shared" si="2"/>
        <v>100</v>
      </c>
      <c r="I45" s="1135"/>
      <c r="J45" s="1135"/>
    </row>
    <row r="46" spans="1:10" ht="15" customHeight="1" x14ac:dyDescent="0.2">
      <c r="A46" s="97"/>
      <c r="B46" s="109" t="s">
        <v>58</v>
      </c>
      <c r="C46" s="3" t="s">
        <v>59</v>
      </c>
      <c r="D46" s="142">
        <f>SUM(D47:D54)</f>
        <v>133646</v>
      </c>
      <c r="E46" s="142">
        <f>SUM(E47:E54)</f>
        <v>193789</v>
      </c>
      <c r="F46" s="142">
        <f>SUM(F47:F54)</f>
        <v>0</v>
      </c>
      <c r="G46" s="142">
        <f t="shared" si="2"/>
        <v>0</v>
      </c>
      <c r="I46" s="1135"/>
      <c r="J46" s="1135"/>
    </row>
    <row r="47" spans="1:10" ht="15" customHeight="1" x14ac:dyDescent="0.2">
      <c r="A47" s="97"/>
      <c r="B47" s="109" t="s">
        <v>60</v>
      </c>
      <c r="C47" s="158" t="s">
        <v>1428</v>
      </c>
      <c r="D47" s="142"/>
      <c r="E47" s="142"/>
      <c r="F47" s="142"/>
      <c r="G47" s="142"/>
      <c r="I47" s="1135"/>
      <c r="J47" s="1135"/>
    </row>
    <row r="48" spans="1:10" ht="15" customHeight="1" x14ac:dyDescent="0.2">
      <c r="A48" s="97"/>
      <c r="B48" s="109" t="s">
        <v>61</v>
      </c>
      <c r="C48" s="158" t="s">
        <v>1548</v>
      </c>
      <c r="D48" s="142"/>
      <c r="E48" s="142"/>
      <c r="F48" s="142"/>
      <c r="G48" s="142"/>
      <c r="I48" s="1135"/>
      <c r="J48" s="1135"/>
    </row>
    <row r="49" spans="1:15" ht="15" customHeight="1" thickBot="1" x14ac:dyDescent="0.25">
      <c r="A49" s="97"/>
      <c r="B49" s="109" t="s">
        <v>139</v>
      </c>
      <c r="C49" s="158" t="s">
        <v>87</v>
      </c>
      <c r="D49" s="142"/>
      <c r="E49" s="142"/>
      <c r="F49" s="142"/>
      <c r="G49" s="142"/>
      <c r="I49" s="1135"/>
      <c r="J49" s="1135"/>
    </row>
    <row r="50" spans="1:15" ht="15" hidden="1" customHeight="1" x14ac:dyDescent="0.2">
      <c r="A50" s="97"/>
      <c r="B50" s="109"/>
      <c r="C50" s="158"/>
      <c r="D50" s="142">
        <f>SUM('3.2.sz.melléklet'!E41)</f>
        <v>101646</v>
      </c>
      <c r="E50" s="142">
        <f>SUM('3.2.sz.melléklet'!F41)-'3.2.sz.melléklet'!F60-'3.2.sz.melléklet'!F61</f>
        <v>151236</v>
      </c>
      <c r="F50" s="142"/>
      <c r="G50" s="142">
        <f t="shared" ref="G50:G77" si="5">F50/E50*100</f>
        <v>0</v>
      </c>
      <c r="I50" s="1135"/>
      <c r="J50" s="1135"/>
    </row>
    <row r="51" spans="1:15" ht="15" hidden="1" customHeight="1" x14ac:dyDescent="0.2">
      <c r="A51" s="97"/>
      <c r="B51" s="109"/>
      <c r="C51" s="158"/>
      <c r="D51" s="142"/>
      <c r="E51" s="142">
        <f>'3.2.sz.melléklet'!F27+'3.2.sz.melléklet'!F60+'3.2.sz.melléklet'!F61</f>
        <v>10553</v>
      </c>
      <c r="F51" s="142"/>
      <c r="G51" s="142">
        <f t="shared" si="5"/>
        <v>0</v>
      </c>
      <c r="I51" s="1135"/>
      <c r="J51" s="1135"/>
    </row>
    <row r="52" spans="1:15" ht="15" hidden="1" customHeight="1" x14ac:dyDescent="0.2">
      <c r="A52" s="97"/>
      <c r="B52" s="109"/>
      <c r="C52" s="158"/>
      <c r="D52" s="142"/>
      <c r="E52" s="142"/>
      <c r="F52" s="142"/>
      <c r="G52" s="142"/>
      <c r="I52" s="1135"/>
      <c r="J52" s="1135"/>
    </row>
    <row r="53" spans="1:15" ht="15" hidden="1" customHeight="1" x14ac:dyDescent="0.2">
      <c r="A53" s="97"/>
      <c r="B53" s="109"/>
      <c r="C53" s="158"/>
      <c r="D53" s="142">
        <f>SUM('3.2.sz.melléklet'!E17)</f>
        <v>32000</v>
      </c>
      <c r="E53" s="142">
        <f>SUM('3.2.sz.melléklet'!F17)</f>
        <v>32000</v>
      </c>
      <c r="F53" s="142"/>
      <c r="G53" s="142"/>
      <c r="I53" s="1135"/>
      <c r="J53" s="1135"/>
    </row>
    <row r="54" spans="1:15" ht="15" hidden="1" customHeight="1" x14ac:dyDescent="0.2">
      <c r="A54" s="104"/>
      <c r="B54" s="109"/>
      <c r="C54" s="158"/>
      <c r="D54" s="145"/>
      <c r="E54" s="145"/>
      <c r="F54" s="145"/>
      <c r="G54" s="145"/>
      <c r="I54" s="1135"/>
      <c r="J54" s="1135"/>
    </row>
    <row r="55" spans="1:15" ht="15" hidden="1" customHeight="1" x14ac:dyDescent="0.2">
      <c r="A55" s="1310"/>
      <c r="B55" s="112"/>
      <c r="C55" s="129"/>
      <c r="D55" s="159">
        <f>SUM('3.2.sz.melléklet'!E124)</f>
        <v>143605</v>
      </c>
      <c r="E55" s="159">
        <f>'3.2.sz.melléklet'!F122</f>
        <v>13195</v>
      </c>
      <c r="F55" s="159"/>
      <c r="G55" s="159"/>
      <c r="I55" s="1135"/>
      <c r="J55" s="1135"/>
    </row>
    <row r="56" spans="1:15" ht="15" customHeight="1" thickBot="1" x14ac:dyDescent="0.25">
      <c r="A56" s="1308" t="s">
        <v>3</v>
      </c>
      <c r="B56" s="2"/>
      <c r="C56" s="10" t="s">
        <v>140</v>
      </c>
      <c r="D56" s="141">
        <f>SUM(D57:D59)</f>
        <v>222432</v>
      </c>
      <c r="E56" s="141">
        <f>SUM(E57:E59)</f>
        <v>696460</v>
      </c>
      <c r="F56" s="141">
        <f>SUM(F57:F59)</f>
        <v>0</v>
      </c>
      <c r="G56" s="141">
        <f t="shared" si="5"/>
        <v>0</v>
      </c>
      <c r="I56" s="1135"/>
      <c r="J56" s="1135"/>
    </row>
    <row r="57" spans="1:15" s="125" customFormat="1" ht="15" customHeight="1" x14ac:dyDescent="0.2">
      <c r="A57" s="113"/>
      <c r="B57" s="109" t="s">
        <v>141</v>
      </c>
      <c r="C57" s="3" t="s">
        <v>142</v>
      </c>
      <c r="D57" s="147">
        <f>SUM('3.2.sz.melléklet'!E140)</f>
        <v>91500</v>
      </c>
      <c r="E57" s="147">
        <f>SUM('3.2.sz.melléklet'!F140)</f>
        <v>595591</v>
      </c>
      <c r="F57" s="147"/>
      <c r="G57" s="147">
        <f t="shared" si="5"/>
        <v>0</v>
      </c>
      <c r="I57" s="1135"/>
      <c r="J57" s="1135"/>
    </row>
    <row r="58" spans="1:15" ht="15" customHeight="1" x14ac:dyDescent="0.2">
      <c r="A58" s="97"/>
      <c r="B58" s="109" t="s">
        <v>143</v>
      </c>
      <c r="C58" s="3" t="s">
        <v>64</v>
      </c>
      <c r="D58" s="142">
        <f>SUM('3.2.sz.melléklet'!E139)</f>
        <v>25000</v>
      </c>
      <c r="E58" s="142">
        <f>SUM('3.2.sz.melléklet'!F139)</f>
        <v>25000</v>
      </c>
      <c r="F58" s="142"/>
      <c r="G58" s="142">
        <f t="shared" si="5"/>
        <v>0</v>
      </c>
      <c r="I58" s="1135"/>
      <c r="J58" s="1135"/>
    </row>
    <row r="59" spans="1:15" ht="15" customHeight="1" x14ac:dyDescent="0.2">
      <c r="A59" s="97"/>
      <c r="B59" s="109" t="s">
        <v>144</v>
      </c>
      <c r="C59" s="3" t="s">
        <v>66</v>
      </c>
      <c r="D59" s="142">
        <f>SUM(D62+D61)</f>
        <v>105932</v>
      </c>
      <c r="E59" s="142">
        <f t="shared" ref="E59" si="6">SUM(E62+E61)</f>
        <v>75869</v>
      </c>
      <c r="F59" s="142"/>
      <c r="G59" s="142">
        <f t="shared" si="5"/>
        <v>0</v>
      </c>
      <c r="I59" s="1135"/>
      <c r="J59" s="1135"/>
    </row>
    <row r="60" spans="1:15" ht="15" customHeight="1" x14ac:dyDescent="0.2">
      <c r="A60" s="1294"/>
      <c r="B60" s="1295" t="s">
        <v>469</v>
      </c>
      <c r="C60" s="158" t="s">
        <v>1621</v>
      </c>
      <c r="D60" s="1296"/>
      <c r="E60" s="1296"/>
      <c r="F60" s="1296"/>
      <c r="G60" s="1296"/>
      <c r="I60" s="1135"/>
      <c r="J60" s="1135"/>
    </row>
    <row r="61" spans="1:15" ht="15" customHeight="1" x14ac:dyDescent="0.2">
      <c r="A61" s="97"/>
      <c r="B61" s="1295" t="s">
        <v>470</v>
      </c>
      <c r="C61" s="158" t="s">
        <v>62</v>
      </c>
      <c r="D61" s="142">
        <f>SUM('3.2.sz.melléklet'!E148+'3.2.sz.melléklet'!E149)</f>
        <v>54500</v>
      </c>
      <c r="E61" s="142">
        <f>SUM('3.2.sz.melléklet'!F148+'3.2.sz.melléklet'!F149)</f>
        <v>54500</v>
      </c>
      <c r="F61" s="142"/>
      <c r="G61" s="142">
        <f t="shared" si="5"/>
        <v>0</v>
      </c>
      <c r="I61" s="1135"/>
      <c r="J61" s="1135"/>
    </row>
    <row r="62" spans="1:15" s="125" customFormat="1" ht="15" customHeight="1" thickBot="1" x14ac:dyDescent="0.25">
      <c r="A62" s="97"/>
      <c r="B62" s="1295" t="s">
        <v>471</v>
      </c>
      <c r="C62" s="158" t="s">
        <v>87</v>
      </c>
      <c r="D62" s="142">
        <f>SUM(D63:D65)</f>
        <v>51432</v>
      </c>
      <c r="E62" s="142">
        <f t="shared" ref="E62" si="7">SUM(E63:E65)</f>
        <v>21369</v>
      </c>
      <c r="F62" s="142"/>
      <c r="G62" s="142">
        <f t="shared" si="5"/>
        <v>0</v>
      </c>
      <c r="I62" s="1135"/>
      <c r="J62" s="1135"/>
    </row>
    <row r="63" spans="1:15" ht="15" hidden="1" customHeight="1" x14ac:dyDescent="0.25">
      <c r="A63" s="97"/>
      <c r="B63" s="109"/>
      <c r="C63" s="160"/>
      <c r="D63" s="161">
        <f>SUM('3.2.sz.melléklet'!E144)</f>
        <v>51432</v>
      </c>
      <c r="E63" s="161">
        <f>SUM('3.2.sz.melléklet'!F144)</f>
        <v>21369</v>
      </c>
      <c r="F63" s="161"/>
      <c r="G63" s="161">
        <f t="shared" si="5"/>
        <v>0</v>
      </c>
      <c r="I63" s="1135"/>
      <c r="J63" s="1135"/>
      <c r="O63" s="127"/>
    </row>
    <row r="64" spans="1:15" ht="15" hidden="1" customHeight="1" x14ac:dyDescent="0.25">
      <c r="A64" s="97"/>
      <c r="B64" s="109"/>
      <c r="C64" s="160"/>
      <c r="D64" s="161"/>
      <c r="E64" s="161"/>
      <c r="F64" s="161"/>
      <c r="G64" s="161"/>
      <c r="I64" s="1135"/>
      <c r="J64" s="1135"/>
    </row>
    <row r="65" spans="1:10" ht="15" hidden="1" customHeight="1" x14ac:dyDescent="0.25">
      <c r="A65" s="104"/>
      <c r="B65" s="109"/>
      <c r="C65" s="162"/>
      <c r="D65" s="163"/>
      <c r="E65" s="163"/>
      <c r="F65" s="163">
        <f>'3.2.sz.melléklet'!G142</f>
        <v>0</v>
      </c>
      <c r="G65" s="163"/>
      <c r="I65" s="1135"/>
      <c r="J65" s="1135"/>
    </row>
    <row r="66" spans="1:10" ht="15" hidden="1" customHeight="1" x14ac:dyDescent="0.2">
      <c r="A66" s="1308"/>
      <c r="B66" s="2"/>
      <c r="C66" s="10"/>
      <c r="D66" s="119"/>
      <c r="E66" s="119">
        <f>'3.2.sz.melléklet'!F147</f>
        <v>6831</v>
      </c>
      <c r="F66" s="119"/>
      <c r="G66" s="119">
        <f t="shared" si="5"/>
        <v>0</v>
      </c>
      <c r="I66" s="1135"/>
      <c r="J66" s="1135"/>
    </row>
    <row r="67" spans="1:10" s="125" customFormat="1" ht="15" hidden="1" customHeight="1" x14ac:dyDescent="0.2">
      <c r="A67" s="1308"/>
      <c r="B67" s="2"/>
      <c r="C67" s="10"/>
      <c r="D67" s="141">
        <f>+D68+D70</f>
        <v>115000</v>
      </c>
      <c r="E67" s="141">
        <f t="shared" ref="E67:F67" si="8">+E68+E70</f>
        <v>258544</v>
      </c>
      <c r="F67" s="141">
        <f t="shared" si="8"/>
        <v>0</v>
      </c>
      <c r="G67" s="141">
        <f t="shared" si="5"/>
        <v>0</v>
      </c>
      <c r="I67" s="1135"/>
      <c r="J67" s="1135"/>
    </row>
    <row r="68" spans="1:10" s="125" customFormat="1" ht="15" hidden="1" customHeight="1" x14ac:dyDescent="0.2">
      <c r="A68" s="113"/>
      <c r="B68" s="124"/>
      <c r="C68" s="3"/>
      <c r="D68" s="147">
        <f>SUM('3.2.sz.melléklet'!E157)</f>
        <v>20000</v>
      </c>
      <c r="E68" s="147"/>
      <c r="F68" s="147">
        <f>SUM('3.2.sz.melléklet'!G157)</f>
        <v>0</v>
      </c>
      <c r="G68" s="147" t="e">
        <f t="shared" si="5"/>
        <v>#DIV/0!</v>
      </c>
      <c r="I68" s="1135"/>
      <c r="J68" s="1135"/>
    </row>
    <row r="69" spans="1:10" s="125" customFormat="1" ht="15" hidden="1" customHeight="1" x14ac:dyDescent="0.2">
      <c r="A69" s="100"/>
      <c r="B69" s="126"/>
      <c r="C69" s="3"/>
      <c r="D69" s="143"/>
      <c r="E69" s="147"/>
      <c r="F69" s="143"/>
      <c r="G69" s="143"/>
      <c r="I69" s="1135"/>
      <c r="J69" s="1135"/>
    </row>
    <row r="70" spans="1:10" s="125" customFormat="1" ht="15" hidden="1" customHeight="1" x14ac:dyDescent="0.2">
      <c r="A70" s="104"/>
      <c r="B70" s="118"/>
      <c r="C70" s="3"/>
      <c r="D70" s="145">
        <f>SUM('3.2.sz.melléklet'!E158)</f>
        <v>95000</v>
      </c>
      <c r="E70" s="145">
        <f>SUM('3.2.sz.melléklet'!F158)</f>
        <v>258544</v>
      </c>
      <c r="F70" s="145"/>
      <c r="G70" s="145">
        <f t="shared" si="5"/>
        <v>0</v>
      </c>
      <c r="I70" s="1135"/>
      <c r="J70" s="1135"/>
    </row>
    <row r="71" spans="1:10" s="125" customFormat="1" ht="15" hidden="1" customHeight="1" thickBot="1" x14ac:dyDescent="0.25">
      <c r="A71" s="1308"/>
      <c r="B71" s="130"/>
      <c r="C71" s="10"/>
      <c r="D71" s="119">
        <f>SUM('3.2.sz.melléklet'!E33)</f>
        <v>1251895</v>
      </c>
      <c r="E71" s="119" t="e">
        <f>SUM('3.2.sz.melléklet'!F33)</f>
        <v>#REF!</v>
      </c>
      <c r="F71" s="119"/>
      <c r="G71" s="119" t="e">
        <f t="shared" si="5"/>
        <v>#REF!</v>
      </c>
      <c r="I71" s="1135"/>
      <c r="J71" s="1135"/>
    </row>
    <row r="72" spans="1:10" s="125" customFormat="1" ht="15" customHeight="1" thickBot="1" x14ac:dyDescent="0.25">
      <c r="A72" s="1308"/>
      <c r="B72" s="2"/>
      <c r="C72" s="8"/>
      <c r="D72" s="164">
        <f>+D41+D56+D66+D67+D71</f>
        <v>2462862</v>
      </c>
      <c r="E72" s="164" t="e">
        <f>+E41+E56+E66+E67+E71</f>
        <v>#REF!</v>
      </c>
      <c r="F72" s="164"/>
      <c r="G72" s="164" t="e">
        <f t="shared" si="5"/>
        <v>#REF!</v>
      </c>
      <c r="I72" s="1135"/>
      <c r="J72" s="1135"/>
    </row>
    <row r="73" spans="1:10" s="125" customFormat="1" ht="15" customHeight="1" thickBot="1" x14ac:dyDescent="0.25">
      <c r="A73" s="1308" t="s">
        <v>12</v>
      </c>
      <c r="B73" s="2"/>
      <c r="C73" s="10" t="s">
        <v>1623</v>
      </c>
      <c r="D73" s="141">
        <f>+D74+D75</f>
        <v>64000</v>
      </c>
      <c r="E73" s="141">
        <f t="shared" ref="E73:F73" si="9">+E74+E75</f>
        <v>64000</v>
      </c>
      <c r="F73" s="141">
        <f t="shared" si="9"/>
        <v>148081</v>
      </c>
      <c r="G73" s="141">
        <f t="shared" si="5"/>
        <v>231.37656249999998</v>
      </c>
      <c r="I73" s="1135"/>
      <c r="J73" s="1135"/>
    </row>
    <row r="74" spans="1:10" ht="15" customHeight="1" x14ac:dyDescent="0.2">
      <c r="A74" s="113"/>
      <c r="B74" s="118" t="s">
        <v>720</v>
      </c>
      <c r="C74" s="3" t="s">
        <v>1622</v>
      </c>
      <c r="D74" s="147"/>
      <c r="E74" s="147"/>
      <c r="F74" s="147">
        <f>SUM('3.c. sz. mell '!F69)</f>
        <v>148081</v>
      </c>
      <c r="G74" s="147"/>
      <c r="I74" s="1135"/>
      <c r="J74" s="1135"/>
    </row>
    <row r="75" spans="1:10" ht="15" customHeight="1" thickBot="1" x14ac:dyDescent="0.25">
      <c r="A75" s="104"/>
      <c r="B75" s="118" t="s">
        <v>538</v>
      </c>
      <c r="C75" s="3" t="s">
        <v>135</v>
      </c>
      <c r="D75" s="145">
        <f>SUM('3.2.sz.melléklet'!E162)</f>
        <v>64000</v>
      </c>
      <c r="E75" s="145">
        <f>SUM('3.2.sz.melléklet'!F162)</f>
        <v>64000</v>
      </c>
      <c r="F75" s="145"/>
      <c r="G75" s="145">
        <f t="shared" si="5"/>
        <v>0</v>
      </c>
      <c r="I75" s="1135"/>
      <c r="J75" s="1135"/>
    </row>
    <row r="76" spans="1:10" s="99" customFormat="1" ht="15" customHeight="1" thickBot="1" x14ac:dyDescent="0.25">
      <c r="A76" s="1308"/>
      <c r="B76" s="2"/>
      <c r="C76" s="10"/>
      <c r="D76" s="119"/>
      <c r="E76" s="119"/>
      <c r="F76" s="119">
        <f>'3.2.sz.melléklet'!G230</f>
        <v>0</v>
      </c>
      <c r="G76" s="119"/>
      <c r="I76" s="1135"/>
      <c r="J76" s="1135"/>
    </row>
    <row r="77" spans="1:10" ht="15" customHeight="1" thickBot="1" x14ac:dyDescent="0.25">
      <c r="A77" s="150"/>
      <c r="B77" s="151"/>
      <c r="C77" s="9" t="s">
        <v>984</v>
      </c>
      <c r="D77" s="152">
        <f>+D72+D73</f>
        <v>2526862</v>
      </c>
      <c r="E77" s="152" t="e">
        <f t="shared" ref="E77" si="10">+E72+E73</f>
        <v>#REF!</v>
      </c>
      <c r="F77" s="152">
        <f>SUM(F41+F56+F73)</f>
        <v>313162</v>
      </c>
      <c r="G77" s="152" t="e">
        <f t="shared" si="5"/>
        <v>#REF!</v>
      </c>
      <c r="I77" s="1135"/>
      <c r="J77" s="1135"/>
    </row>
    <row r="78" spans="1:10" ht="21.75" customHeight="1" x14ac:dyDescent="0.2">
      <c r="A78" s="1297"/>
      <c r="B78" s="1298"/>
      <c r="C78" s="1300" t="s">
        <v>1624</v>
      </c>
      <c r="D78" s="1299"/>
      <c r="E78" s="1299"/>
      <c r="F78" s="1299">
        <f>SUM(F74)</f>
        <v>148081</v>
      </c>
      <c r="G78" s="1299"/>
      <c r="I78" s="1135"/>
      <c r="J78" s="1135"/>
    </row>
    <row r="79" spans="1:10" ht="20.25" customHeight="1" thickBot="1" x14ac:dyDescent="0.25">
      <c r="A79" s="165"/>
      <c r="B79" s="166"/>
      <c r="C79" s="1302" t="s">
        <v>1625</v>
      </c>
      <c r="D79" s="132"/>
      <c r="E79" s="132"/>
      <c r="F79" s="1301">
        <f>SUM(F77-F78)</f>
        <v>165081</v>
      </c>
      <c r="G79" s="132"/>
      <c r="I79" s="1135"/>
      <c r="J79" s="1135"/>
    </row>
    <row r="80" spans="1:10" ht="20.25" customHeight="1" thickBot="1" x14ac:dyDescent="0.25">
      <c r="A80" s="1520" t="s">
        <v>136</v>
      </c>
      <c r="B80" s="1520"/>
      <c r="C80" s="1520"/>
      <c r="D80" s="136">
        <f>SUM('3.2.sz.melléklet'!E199+'3.2.sz.melléklet'!E182)</f>
        <v>9.5</v>
      </c>
      <c r="E80" s="136">
        <f>SUM('3.2.sz.melléklet'!F199+'3.2.sz.melléklet'!F182)</f>
        <v>9.5</v>
      </c>
      <c r="F80" s="136"/>
      <c r="G80" s="136"/>
      <c r="I80" s="1135"/>
      <c r="J80" s="1136"/>
    </row>
    <row r="81" spans="1:10" ht="15" customHeight="1" thickBot="1" x14ac:dyDescent="0.25">
      <c r="A81" s="1520" t="s">
        <v>137</v>
      </c>
      <c r="B81" s="1520"/>
      <c r="C81" s="1520"/>
      <c r="D81" s="167">
        <v>13.5</v>
      </c>
      <c r="E81" s="167">
        <v>13.5</v>
      </c>
      <c r="F81" s="167"/>
      <c r="G81" s="167"/>
      <c r="I81" s="1135"/>
      <c r="J81" s="1136"/>
    </row>
    <row r="82" spans="1:10" ht="15" customHeight="1" x14ac:dyDescent="0.2"/>
    <row r="83" spans="1:10" ht="15" customHeight="1" x14ac:dyDescent="0.2"/>
    <row r="84" spans="1:10" ht="13.5" thickBot="1" x14ac:dyDescent="0.25"/>
    <row r="85" spans="1:10" ht="16.5" thickBot="1" x14ac:dyDescent="0.25">
      <c r="E85" s="152">
        <v>4969009</v>
      </c>
      <c r="F85" s="152">
        <v>4971068</v>
      </c>
    </row>
    <row r="88" spans="1:10" ht="15.75" x14ac:dyDescent="0.2">
      <c r="E88" s="971" t="e">
        <f>SUM(E85-E77)</f>
        <v>#REF!</v>
      </c>
      <c r="F88" s="971">
        <f>SUM(F85-F77)</f>
        <v>4657906</v>
      </c>
    </row>
  </sheetData>
  <sheetProtection selectLockedCells="1" selectUnlockedCells="1"/>
  <mergeCells count="8">
    <mergeCell ref="A80:C80"/>
    <mergeCell ref="A81:C81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2014. évi 
bevételei és kiadásai&amp;R&amp;"Times New Roman,Normál"&amp;12 2.c. sz. melléklet
Ezer Ft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view="pageBreakPreview" topLeftCell="A7" zoomScaleNormal="100" zoomScaleSheetLayoutView="100" workbookViewId="0">
      <selection activeCell="H10" sqref="H10"/>
    </sheetView>
  </sheetViews>
  <sheetFormatPr defaultRowHeight="12.75" x14ac:dyDescent="0.2"/>
  <cols>
    <col min="1" max="1" width="3.6640625" style="11" customWidth="1"/>
    <col min="2" max="2" width="4.83203125" style="11" customWidth="1"/>
    <col min="3" max="3" width="2.1640625" style="11" customWidth="1"/>
    <col min="4" max="4" width="69.5" style="12" customWidth="1"/>
    <col min="5" max="5" width="15.83203125" style="11" customWidth="1"/>
    <col min="6" max="6" width="14.83203125" style="11" customWidth="1"/>
    <col min="7" max="7" width="16" style="11" customWidth="1"/>
    <col min="8" max="9" width="14" style="11" customWidth="1"/>
    <col min="10" max="11" width="16.6640625" style="11" hidden="1" customWidth="1"/>
    <col min="12" max="12" width="8.33203125" style="11" hidden="1" customWidth="1"/>
    <col min="13" max="13" width="12.83203125" style="11" customWidth="1"/>
    <col min="14" max="14" width="16.5" style="11" customWidth="1"/>
    <col min="15" max="15" width="13.83203125" style="11" customWidth="1"/>
    <col min="16" max="16" width="14.33203125" style="11" customWidth="1"/>
    <col min="17" max="16384" width="9.33203125" style="11"/>
  </cols>
  <sheetData>
    <row r="1" spans="1:17" s="17" customFormat="1" ht="73.5" customHeight="1" x14ac:dyDescent="0.2">
      <c r="A1" s="1574" t="s">
        <v>0</v>
      </c>
      <c r="B1" s="1574"/>
      <c r="C1" s="1574"/>
      <c r="D1" s="476" t="s">
        <v>1314</v>
      </c>
      <c r="E1" s="476" t="s">
        <v>650</v>
      </c>
      <c r="F1" s="476" t="s">
        <v>651</v>
      </c>
      <c r="G1" s="476" t="s">
        <v>1427</v>
      </c>
      <c r="H1" s="476" t="s">
        <v>1421</v>
      </c>
      <c r="I1" s="476" t="s">
        <v>1459</v>
      </c>
      <c r="J1" s="723" t="s">
        <v>1331</v>
      </c>
      <c r="K1" s="476" t="s">
        <v>1330</v>
      </c>
      <c r="L1" s="476" t="s">
        <v>1</v>
      </c>
    </row>
    <row r="2" spans="1:17" s="473" customFormat="1" ht="15" customHeight="1" x14ac:dyDescent="0.2">
      <c r="A2" s="495"/>
      <c r="B2" s="496"/>
      <c r="C2" s="496"/>
      <c r="D2" s="497">
        <v>1</v>
      </c>
      <c r="E2" s="497">
        <v>2</v>
      </c>
      <c r="F2" s="497">
        <v>3</v>
      </c>
      <c r="G2" s="497">
        <v>4</v>
      </c>
      <c r="H2" s="497">
        <v>5</v>
      </c>
      <c r="I2" s="497">
        <v>6</v>
      </c>
      <c r="J2" s="724">
        <v>7</v>
      </c>
      <c r="K2" s="497" t="s">
        <v>38</v>
      </c>
      <c r="L2" s="497">
        <v>9</v>
      </c>
    </row>
    <row r="3" spans="1:17" s="473" customFormat="1" ht="19.5" customHeight="1" x14ac:dyDescent="0.2">
      <c r="A3" s="1572" t="s">
        <v>666</v>
      </c>
      <c r="B3" s="1572"/>
      <c r="C3" s="1572"/>
      <c r="D3" s="1572"/>
      <c r="E3" s="799">
        <f>SUM(E4+E38+E73+E80)</f>
        <v>0</v>
      </c>
      <c r="F3" s="799"/>
      <c r="G3" s="799">
        <f>SUM(G4+G38+G73+G80)</f>
        <v>0</v>
      </c>
      <c r="H3" s="799">
        <f>SUM(H4+H38+H73+H80)</f>
        <v>130500</v>
      </c>
      <c r="I3" s="485"/>
      <c r="J3" s="725">
        <f>SUM(J4+J38+J73+J80)</f>
        <v>595591</v>
      </c>
      <c r="K3" s="485">
        <f>SUM(K4+K38+K73+K80)</f>
        <v>393095</v>
      </c>
      <c r="L3" s="485">
        <f>K3/J3*100</f>
        <v>66.000829428248579</v>
      </c>
      <c r="N3" s="711"/>
      <c r="O3" s="711"/>
      <c r="P3" s="711"/>
      <c r="Q3" s="711"/>
    </row>
    <row r="4" spans="1:17" s="501" customFormat="1" ht="15.95" customHeight="1" x14ac:dyDescent="0.2">
      <c r="A4" s="499" t="s">
        <v>2</v>
      </c>
      <c r="B4" s="500"/>
      <c r="C4" s="500"/>
      <c r="D4" s="800" t="s">
        <v>667</v>
      </c>
      <c r="E4" s="799">
        <f>SUM(E5:E30)</f>
        <v>0</v>
      </c>
      <c r="F4" s="799"/>
      <c r="G4" s="799"/>
      <c r="H4" s="799">
        <f>SUM(H5:H30)+H173</f>
        <v>130500</v>
      </c>
      <c r="I4" s="799"/>
      <c r="J4" s="799">
        <f>SUM(J5:J37)</f>
        <v>59031</v>
      </c>
      <c r="K4" s="799">
        <f>SUM(K5:K37)</f>
        <v>52622</v>
      </c>
      <c r="L4" s="485">
        <f>K4/J4*100</f>
        <v>89.142992664871002</v>
      </c>
    </row>
    <row r="5" spans="1:17" ht="15.95" customHeight="1" x14ac:dyDescent="0.25">
      <c r="A5" s="1111"/>
      <c r="B5" s="488" t="s">
        <v>654</v>
      </c>
      <c r="C5" s="1112"/>
      <c r="D5" s="1113" t="s">
        <v>1449</v>
      </c>
      <c r="E5" s="1114"/>
      <c r="F5" s="1115"/>
      <c r="G5" s="1116"/>
      <c r="H5" s="1114">
        <v>10000</v>
      </c>
      <c r="I5" s="1117"/>
      <c r="J5" s="1114"/>
      <c r="K5" s="1118"/>
      <c r="L5" s="1119"/>
    </row>
    <row r="6" spans="1:17" ht="15.95" customHeight="1" x14ac:dyDescent="0.25">
      <c r="A6" s="1111"/>
      <c r="B6" s="488" t="s">
        <v>655</v>
      </c>
      <c r="C6" s="1112"/>
      <c r="D6" s="1113" t="s">
        <v>1431</v>
      </c>
      <c r="E6" s="1114"/>
      <c r="F6" s="1115"/>
      <c r="G6" s="1116"/>
      <c r="H6" s="1114">
        <v>18500</v>
      </c>
      <c r="I6" s="1117"/>
      <c r="J6" s="1114"/>
      <c r="K6" s="1118"/>
      <c r="L6" s="1119"/>
    </row>
    <row r="7" spans="1:17" ht="15.95" customHeight="1" x14ac:dyDescent="0.25">
      <c r="A7" s="1111"/>
      <c r="B7" s="488" t="s">
        <v>656</v>
      </c>
      <c r="C7" s="1112"/>
      <c r="D7" s="1113" t="s">
        <v>1450</v>
      </c>
      <c r="E7" s="1114"/>
      <c r="F7" s="1115"/>
      <c r="G7" s="1116"/>
      <c r="H7" s="1114">
        <v>500</v>
      </c>
      <c r="I7" s="1117"/>
      <c r="J7" s="1114"/>
      <c r="K7" s="1118"/>
      <c r="L7" s="1119"/>
    </row>
    <row r="8" spans="1:17" ht="15.95" customHeight="1" x14ac:dyDescent="0.25">
      <c r="A8" s="1111"/>
      <c r="B8" s="488" t="s">
        <v>621</v>
      </c>
      <c r="C8" s="1112"/>
      <c r="D8" s="1113" t="s">
        <v>1451</v>
      </c>
      <c r="E8" s="1114"/>
      <c r="F8" s="1115"/>
      <c r="G8" s="1116"/>
      <c r="H8" s="1114">
        <v>7000</v>
      </c>
      <c r="I8" s="1117"/>
      <c r="J8" s="1114"/>
      <c r="K8" s="1118"/>
      <c r="L8" s="1119"/>
    </row>
    <row r="9" spans="1:17" ht="15.95" customHeight="1" x14ac:dyDescent="0.25">
      <c r="A9" s="1111"/>
      <c r="B9" s="488" t="s">
        <v>58</v>
      </c>
      <c r="C9" s="1112"/>
      <c r="D9" s="1113" t="s">
        <v>1452</v>
      </c>
      <c r="E9" s="1114"/>
      <c r="F9" s="1115"/>
      <c r="G9" s="1116"/>
      <c r="H9" s="1114">
        <v>25000</v>
      </c>
      <c r="I9" s="1117"/>
      <c r="J9" s="1114"/>
      <c r="K9" s="1118"/>
      <c r="L9" s="1119"/>
    </row>
    <row r="10" spans="1:17" ht="15.95" customHeight="1" x14ac:dyDescent="0.25">
      <c r="A10" s="1111"/>
      <c r="B10" s="488" t="s">
        <v>132</v>
      </c>
      <c r="C10" s="1112"/>
      <c r="D10" s="1113" t="s">
        <v>1101</v>
      </c>
      <c r="E10" s="1114"/>
      <c r="F10" s="1115"/>
      <c r="G10" s="1116"/>
      <c r="H10" s="1114">
        <v>13600</v>
      </c>
      <c r="I10" s="1117"/>
      <c r="J10" s="1114"/>
      <c r="K10" s="1118"/>
      <c r="L10" s="1119"/>
    </row>
    <row r="11" spans="1:17" ht="15.95" customHeight="1" x14ac:dyDescent="0.25">
      <c r="A11" s="1111"/>
      <c r="B11" s="488" t="s">
        <v>657</v>
      </c>
      <c r="C11" s="1112"/>
      <c r="D11" s="1113" t="s">
        <v>669</v>
      </c>
      <c r="E11" s="1114"/>
      <c r="F11" s="1115"/>
      <c r="G11" s="1116"/>
      <c r="H11" s="1114">
        <v>4500</v>
      </c>
      <c r="I11" s="1117"/>
      <c r="J11" s="1114"/>
      <c r="K11" s="1118"/>
      <c r="L11" s="1119"/>
    </row>
    <row r="12" spans="1:17" ht="30" customHeight="1" x14ac:dyDescent="0.25">
      <c r="A12" s="1111"/>
      <c r="B12" s="488" t="s">
        <v>658</v>
      </c>
      <c r="C12" s="1112"/>
      <c r="D12" s="1113" t="s">
        <v>1453</v>
      </c>
      <c r="E12" s="1114"/>
      <c r="F12" s="1115"/>
      <c r="G12" s="1116"/>
      <c r="H12" s="1114">
        <v>1500</v>
      </c>
      <c r="I12" s="1117"/>
      <c r="J12" s="1114"/>
      <c r="K12" s="1118"/>
      <c r="L12" s="1119"/>
    </row>
    <row r="13" spans="1:17" ht="15.95" customHeight="1" x14ac:dyDescent="0.25">
      <c r="A13" s="1111"/>
      <c r="B13" s="488" t="s">
        <v>659</v>
      </c>
      <c r="C13" s="1112"/>
      <c r="D13" s="1113" t="s">
        <v>673</v>
      </c>
      <c r="E13" s="1114"/>
      <c r="F13" s="1115"/>
      <c r="G13" s="1116"/>
      <c r="H13" s="1114">
        <v>2000</v>
      </c>
      <c r="I13" s="1117"/>
      <c r="J13" s="1114"/>
      <c r="K13" s="1118"/>
      <c r="L13" s="1119"/>
    </row>
    <row r="14" spans="1:17" ht="31.5" customHeight="1" x14ac:dyDescent="0.25">
      <c r="A14" s="1111"/>
      <c r="B14" s="488" t="s">
        <v>660</v>
      </c>
      <c r="C14" s="1112"/>
      <c r="D14" s="1113" t="s">
        <v>678</v>
      </c>
      <c r="E14" s="1114"/>
      <c r="F14" s="1115"/>
      <c r="G14" s="1116"/>
      <c r="H14" s="1114">
        <v>1000</v>
      </c>
      <c r="I14" s="1117"/>
      <c r="J14" s="1114"/>
      <c r="K14" s="1118"/>
      <c r="L14" s="1119"/>
    </row>
    <row r="15" spans="1:17" ht="15.95" customHeight="1" x14ac:dyDescent="0.25">
      <c r="A15" s="1111"/>
      <c r="B15" s="488" t="s">
        <v>661</v>
      </c>
      <c r="C15" s="1112"/>
      <c r="D15" s="1113" t="s">
        <v>689</v>
      </c>
      <c r="E15" s="1114"/>
      <c r="F15" s="1115"/>
      <c r="G15" s="1116"/>
      <c r="H15" s="1114">
        <v>2000</v>
      </c>
      <c r="I15" s="1117"/>
      <c r="J15" s="1114"/>
      <c r="K15" s="1118"/>
      <c r="L15" s="1119"/>
    </row>
    <row r="16" spans="1:17" ht="15.95" customHeight="1" x14ac:dyDescent="0.25">
      <c r="A16" s="1111"/>
      <c r="B16" s="488" t="s">
        <v>662</v>
      </c>
      <c r="C16" s="1112"/>
      <c r="D16" s="1113" t="s">
        <v>1454</v>
      </c>
      <c r="E16" s="1114"/>
      <c r="F16" s="1115"/>
      <c r="G16" s="1116"/>
      <c r="H16" s="1114">
        <v>1900</v>
      </c>
      <c r="I16" s="1117"/>
      <c r="J16" s="1114"/>
      <c r="K16" s="1118"/>
      <c r="L16" s="1119"/>
    </row>
    <row r="17" spans="1:12" ht="15.95" customHeight="1" x14ac:dyDescent="0.25">
      <c r="A17" s="1111"/>
      <c r="B17" s="488" t="s">
        <v>663</v>
      </c>
      <c r="C17" s="1112"/>
      <c r="D17" s="1113" t="s">
        <v>1455</v>
      </c>
      <c r="E17" s="1114"/>
      <c r="F17" s="1115"/>
      <c r="G17" s="1116"/>
      <c r="H17" s="1114">
        <v>500</v>
      </c>
      <c r="I17" s="1117"/>
      <c r="J17" s="1114"/>
      <c r="K17" s="1118"/>
      <c r="L17" s="1119"/>
    </row>
    <row r="18" spans="1:12" ht="15.95" customHeight="1" x14ac:dyDescent="0.25">
      <c r="A18" s="1111"/>
      <c r="B18" s="488" t="s">
        <v>671</v>
      </c>
      <c r="C18" s="1112"/>
      <c r="D18" s="1113" t="s">
        <v>1103</v>
      </c>
      <c r="E18" s="1114"/>
      <c r="F18" s="1115"/>
      <c r="G18" s="1116"/>
      <c r="H18" s="1114">
        <v>35000</v>
      </c>
      <c r="I18" s="1117"/>
      <c r="J18" s="1114"/>
      <c r="K18" s="1118"/>
      <c r="L18" s="1119"/>
    </row>
    <row r="19" spans="1:12" ht="15.95" customHeight="1" x14ac:dyDescent="0.25">
      <c r="A19" s="1111"/>
      <c r="B19" s="488" t="s">
        <v>672</v>
      </c>
      <c r="C19" s="1112"/>
      <c r="D19" s="1113" t="s">
        <v>1114</v>
      </c>
      <c r="E19" s="1114"/>
      <c r="F19" s="1115"/>
      <c r="G19" s="1116"/>
      <c r="H19" s="1114">
        <v>5000</v>
      </c>
      <c r="I19" s="1117"/>
      <c r="J19" s="1114"/>
      <c r="K19" s="1118"/>
      <c r="L19" s="1119"/>
    </row>
    <row r="20" spans="1:12" ht="30" customHeight="1" x14ac:dyDescent="0.25">
      <c r="A20" s="1111"/>
      <c r="B20" s="488" t="s">
        <v>674</v>
      </c>
      <c r="C20" s="1112"/>
      <c r="D20" s="1113" t="s">
        <v>1456</v>
      </c>
      <c r="E20" s="1114"/>
      <c r="F20" s="1115"/>
      <c r="G20" s="1116"/>
      <c r="H20" s="1114">
        <v>1000</v>
      </c>
      <c r="I20" s="1117"/>
      <c r="J20" s="1114"/>
      <c r="K20" s="1118"/>
      <c r="L20" s="1119"/>
    </row>
    <row r="21" spans="1:12" ht="15.95" customHeight="1" x14ac:dyDescent="0.25">
      <c r="A21" s="1111"/>
      <c r="B21" s="488" t="s">
        <v>675</v>
      </c>
      <c r="C21" s="1112"/>
      <c r="D21" s="1113" t="s">
        <v>1457</v>
      </c>
      <c r="E21" s="1114"/>
      <c r="F21" s="1115"/>
      <c r="G21" s="1116"/>
      <c r="H21" s="1114">
        <v>1500</v>
      </c>
      <c r="I21" s="1117"/>
      <c r="J21" s="1114"/>
      <c r="K21" s="1118"/>
      <c r="L21" s="1119"/>
    </row>
    <row r="22" spans="1:12" ht="15.75" hidden="1" x14ac:dyDescent="0.25">
      <c r="A22" s="502"/>
      <c r="B22" s="503" t="s">
        <v>675</v>
      </c>
      <c r="C22" s="504"/>
      <c r="D22" s="803" t="s">
        <v>670</v>
      </c>
      <c r="E22" s="786"/>
      <c r="F22" s="801"/>
      <c r="G22" s="498"/>
      <c r="H22" s="804"/>
      <c r="I22" s="728"/>
      <c r="J22" s="726"/>
      <c r="K22" s="498"/>
      <c r="L22" s="498"/>
    </row>
    <row r="23" spans="1:12" ht="15.75" hidden="1" x14ac:dyDescent="0.25">
      <c r="A23" s="502"/>
      <c r="B23" s="503" t="s">
        <v>676</v>
      </c>
      <c r="C23" s="504"/>
      <c r="D23" s="803" t="s">
        <v>673</v>
      </c>
      <c r="E23" s="786"/>
      <c r="F23" s="801"/>
      <c r="G23" s="498"/>
      <c r="H23" s="804"/>
      <c r="I23" s="728"/>
      <c r="J23" s="726">
        <v>3000</v>
      </c>
      <c r="K23" s="498">
        <v>997</v>
      </c>
      <c r="L23" s="498">
        <f>K23/J23*100</f>
        <v>33.233333333333334</v>
      </c>
    </row>
    <row r="24" spans="1:12" ht="31.5" hidden="1" x14ac:dyDescent="0.25">
      <c r="A24" s="502"/>
      <c r="B24" s="503" t="s">
        <v>677</v>
      </c>
      <c r="C24" s="504"/>
      <c r="D24" s="803" t="s">
        <v>1102</v>
      </c>
      <c r="E24" s="786"/>
      <c r="F24" s="801"/>
      <c r="G24" s="498"/>
      <c r="H24" s="804"/>
      <c r="I24" s="728"/>
      <c r="J24" s="726"/>
      <c r="K24" s="498"/>
      <c r="L24" s="498"/>
    </row>
    <row r="25" spans="1:12" ht="31.5" hidden="1" x14ac:dyDescent="0.25">
      <c r="A25" s="502"/>
      <c r="B25" s="503" t="s">
        <v>679</v>
      </c>
      <c r="C25" s="504"/>
      <c r="D25" s="803" t="s">
        <v>678</v>
      </c>
      <c r="E25" s="786"/>
      <c r="F25" s="801"/>
      <c r="G25" s="498"/>
      <c r="H25" s="804"/>
      <c r="I25" s="728"/>
      <c r="J25" s="726">
        <v>3000</v>
      </c>
      <c r="K25" s="498"/>
      <c r="L25" s="498">
        <f t="shared" ref="L25:L30" si="0">K25/J25*100</f>
        <v>0</v>
      </c>
    </row>
    <row r="26" spans="1:12" ht="15.75" hidden="1" x14ac:dyDescent="0.25">
      <c r="A26" s="502"/>
      <c r="B26" s="503" t="s">
        <v>680</v>
      </c>
      <c r="C26" s="504"/>
      <c r="D26" s="805" t="s">
        <v>1231</v>
      </c>
      <c r="E26" s="786"/>
      <c r="F26" s="505"/>
      <c r="G26" s="498"/>
      <c r="H26" s="498"/>
      <c r="I26" s="728"/>
      <c r="J26" s="726">
        <v>254</v>
      </c>
      <c r="K26" s="498">
        <v>254</v>
      </c>
      <c r="L26" s="498">
        <f t="shared" si="0"/>
        <v>100</v>
      </c>
    </row>
    <row r="27" spans="1:12" ht="15.75" hidden="1" x14ac:dyDescent="0.25">
      <c r="A27" s="502"/>
      <c r="B27" s="503" t="s">
        <v>681</v>
      </c>
      <c r="C27" s="504"/>
      <c r="D27" s="506" t="s">
        <v>1234</v>
      </c>
      <c r="E27" s="786"/>
      <c r="F27" s="505"/>
      <c r="G27" s="498"/>
      <c r="H27" s="498"/>
      <c r="I27" s="728"/>
      <c r="J27" s="726">
        <v>6480</v>
      </c>
      <c r="K27" s="498">
        <v>6480</v>
      </c>
      <c r="L27" s="498">
        <f t="shared" si="0"/>
        <v>100</v>
      </c>
    </row>
    <row r="28" spans="1:12" ht="15.75" hidden="1" x14ac:dyDescent="0.25">
      <c r="A28" s="502"/>
      <c r="B28" s="503" t="s">
        <v>682</v>
      </c>
      <c r="C28" s="504"/>
      <c r="D28" s="506" t="s">
        <v>1235</v>
      </c>
      <c r="E28" s="786"/>
      <c r="F28" s="505"/>
      <c r="G28" s="498"/>
      <c r="H28" s="498"/>
      <c r="I28" s="728"/>
      <c r="J28" s="726">
        <v>7526</v>
      </c>
      <c r="K28" s="498">
        <v>7526</v>
      </c>
      <c r="L28" s="498">
        <f t="shared" si="0"/>
        <v>100</v>
      </c>
    </row>
    <row r="29" spans="1:12" ht="15.75" hidden="1" x14ac:dyDescent="0.25">
      <c r="A29" s="502"/>
      <c r="B29" s="503" t="s">
        <v>683</v>
      </c>
      <c r="C29" s="504"/>
      <c r="D29" s="506" t="s">
        <v>1238</v>
      </c>
      <c r="E29" s="786"/>
      <c r="F29" s="505"/>
      <c r="G29" s="498"/>
      <c r="H29" s="498"/>
      <c r="I29" s="728"/>
      <c r="J29" s="726">
        <v>392</v>
      </c>
      <c r="K29" s="498">
        <v>437</v>
      </c>
      <c r="L29" s="498">
        <f t="shared" si="0"/>
        <v>111.4795918367347</v>
      </c>
    </row>
    <row r="30" spans="1:12" ht="15.75" hidden="1" x14ac:dyDescent="0.25">
      <c r="A30" s="502"/>
      <c r="B30" s="503" t="s">
        <v>684</v>
      </c>
      <c r="C30" s="504"/>
      <c r="D30" s="506" t="s">
        <v>1295</v>
      </c>
      <c r="E30" s="786"/>
      <c r="F30" s="505"/>
      <c r="G30" s="498"/>
      <c r="H30" s="498"/>
      <c r="I30" s="728"/>
      <c r="J30" s="726">
        <v>6813</v>
      </c>
      <c r="K30" s="498">
        <v>6813</v>
      </c>
      <c r="L30" s="498">
        <f t="shared" si="0"/>
        <v>100</v>
      </c>
    </row>
    <row r="31" spans="1:12" ht="15.75" hidden="1" x14ac:dyDescent="0.25">
      <c r="A31" s="502"/>
      <c r="B31" s="503" t="s">
        <v>685</v>
      </c>
      <c r="C31" s="504"/>
      <c r="D31" s="506" t="s">
        <v>1244</v>
      </c>
      <c r="E31" s="786"/>
      <c r="F31" s="505"/>
      <c r="G31" s="498"/>
      <c r="H31" s="498"/>
      <c r="I31" s="728"/>
      <c r="J31" s="726">
        <v>220</v>
      </c>
      <c r="K31" s="498">
        <v>220</v>
      </c>
      <c r="L31" s="498">
        <f>K31/J31*100</f>
        <v>100</v>
      </c>
    </row>
    <row r="32" spans="1:12" ht="15.75" hidden="1" x14ac:dyDescent="0.25">
      <c r="A32" s="502"/>
      <c r="B32" s="503" t="s">
        <v>686</v>
      </c>
      <c r="C32" s="504"/>
      <c r="D32" s="506" t="s">
        <v>1255</v>
      </c>
      <c r="E32" s="786"/>
      <c r="F32" s="505"/>
      <c r="G32" s="498"/>
      <c r="H32" s="498"/>
      <c r="I32" s="728"/>
      <c r="J32" s="726">
        <v>1000</v>
      </c>
      <c r="K32" s="498">
        <v>1000</v>
      </c>
      <c r="L32" s="498">
        <f>K32/J32*100</f>
        <v>100</v>
      </c>
    </row>
    <row r="33" spans="1:12" ht="15.75" hidden="1" x14ac:dyDescent="0.25">
      <c r="A33" s="502"/>
      <c r="B33" s="503" t="s">
        <v>687</v>
      </c>
      <c r="C33" s="504"/>
      <c r="D33" s="486" t="s">
        <v>1262</v>
      </c>
      <c r="E33" s="786"/>
      <c r="F33" s="505"/>
      <c r="G33" s="498"/>
      <c r="H33" s="498"/>
      <c r="I33" s="728"/>
      <c r="J33" s="726">
        <v>1877</v>
      </c>
      <c r="K33" s="498">
        <v>1831</v>
      </c>
      <c r="L33" s="498">
        <f>K33/J33*100</f>
        <v>97.549280767181671</v>
      </c>
    </row>
    <row r="34" spans="1:12" ht="15.75" hidden="1" x14ac:dyDescent="0.25">
      <c r="A34" s="502"/>
      <c r="B34" s="503" t="s">
        <v>994</v>
      </c>
      <c r="C34" s="504"/>
      <c r="D34" s="506" t="s">
        <v>1345</v>
      </c>
      <c r="E34" s="498"/>
      <c r="F34" s="505"/>
      <c r="G34" s="498"/>
      <c r="H34" s="498"/>
      <c r="I34" s="728"/>
      <c r="J34" s="726">
        <v>3324</v>
      </c>
      <c r="K34" s="498">
        <v>3324</v>
      </c>
      <c r="L34" s="498">
        <f>K34/J34*100</f>
        <v>100</v>
      </c>
    </row>
    <row r="35" spans="1:12" ht="15.75" hidden="1" x14ac:dyDescent="0.25">
      <c r="A35" s="502"/>
      <c r="B35" s="503" t="s">
        <v>995</v>
      </c>
      <c r="C35" s="504"/>
      <c r="D35" s="506" t="s">
        <v>1346</v>
      </c>
      <c r="E35" s="498"/>
      <c r="F35" s="505"/>
      <c r="G35" s="498"/>
      <c r="H35" s="498"/>
      <c r="I35" s="728"/>
      <c r="J35" s="726">
        <v>1400</v>
      </c>
      <c r="K35" s="498"/>
      <c r="L35" s="498"/>
    </row>
    <row r="36" spans="1:12" ht="15.75" hidden="1" x14ac:dyDescent="0.25">
      <c r="A36" s="502"/>
      <c r="B36" s="503" t="s">
        <v>1001</v>
      </c>
      <c r="C36" s="504"/>
      <c r="D36" s="506" t="s">
        <v>1347</v>
      </c>
      <c r="E36" s="498"/>
      <c r="F36" s="505"/>
      <c r="G36" s="498"/>
      <c r="H36" s="498"/>
      <c r="I36" s="728"/>
      <c r="J36" s="726">
        <v>500</v>
      </c>
      <c r="K36" s="498">
        <v>495</v>
      </c>
      <c r="L36" s="498"/>
    </row>
    <row r="37" spans="1:12" ht="15.75" hidden="1" x14ac:dyDescent="0.25">
      <c r="A37" s="502"/>
      <c r="B37" s="503" t="s">
        <v>1002</v>
      </c>
      <c r="C37" s="504"/>
      <c r="D37" s="506" t="s">
        <v>1348</v>
      </c>
      <c r="E37" s="498"/>
      <c r="F37" s="505"/>
      <c r="G37" s="498"/>
      <c r="H37" s="498"/>
      <c r="I37" s="728"/>
      <c r="J37" s="726">
        <v>23245</v>
      </c>
      <c r="K37" s="498">
        <v>23245</v>
      </c>
      <c r="L37" s="498"/>
    </row>
    <row r="38" spans="1:12" ht="16.5" hidden="1" x14ac:dyDescent="0.2">
      <c r="A38" s="508" t="s">
        <v>3</v>
      </c>
      <c r="B38" s="504"/>
      <c r="C38" s="504"/>
      <c r="D38" s="783" t="s">
        <v>688</v>
      </c>
      <c r="E38" s="799">
        <f>SUM(E39:E62)</f>
        <v>0</v>
      </c>
      <c r="F38" s="483"/>
      <c r="G38" s="483"/>
      <c r="H38" s="485">
        <f>SUM(H39:H62)</f>
        <v>0</v>
      </c>
      <c r="I38" s="485"/>
      <c r="J38" s="725">
        <f>SUM(J39:J72)</f>
        <v>72449</v>
      </c>
      <c r="K38" s="725">
        <f>SUM(K39:K72)</f>
        <v>54348</v>
      </c>
      <c r="L38" s="485">
        <f>K38/J38*100</f>
        <v>75.01552816463996</v>
      </c>
    </row>
    <row r="39" spans="1:12" ht="15.75" hidden="1" x14ac:dyDescent="0.25">
      <c r="A39" s="502"/>
      <c r="B39" s="503" t="s">
        <v>141</v>
      </c>
      <c r="C39" s="504"/>
      <c r="D39" s="787" t="s">
        <v>689</v>
      </c>
      <c r="E39" s="786"/>
      <c r="F39" s="801"/>
      <c r="G39" s="498"/>
      <c r="H39" s="786"/>
      <c r="I39" s="728"/>
      <c r="J39" s="726">
        <v>5000</v>
      </c>
      <c r="K39" s="498"/>
      <c r="L39" s="498">
        <f>K39/J39*100</f>
        <v>0</v>
      </c>
    </row>
    <row r="40" spans="1:12" ht="15.75" hidden="1" x14ac:dyDescent="0.25">
      <c r="A40" s="502"/>
      <c r="B40" s="503" t="s">
        <v>143</v>
      </c>
      <c r="C40" s="504"/>
      <c r="D40" s="802" t="s">
        <v>708</v>
      </c>
      <c r="E40" s="786"/>
      <c r="F40" s="801"/>
      <c r="G40" s="498"/>
      <c r="H40" s="786"/>
      <c r="I40" s="728"/>
      <c r="J40" s="726">
        <v>1000</v>
      </c>
      <c r="K40" s="498"/>
      <c r="L40" s="498">
        <f>K40/J40*100</f>
        <v>0</v>
      </c>
    </row>
    <row r="41" spans="1:12" ht="15.75" hidden="1" x14ac:dyDescent="0.25">
      <c r="A41" s="502"/>
      <c r="B41" s="503" t="s">
        <v>144</v>
      </c>
      <c r="C41" s="504"/>
      <c r="D41" s="787" t="s">
        <v>1103</v>
      </c>
      <c r="E41" s="786"/>
      <c r="F41" s="801"/>
      <c r="G41" s="498"/>
      <c r="H41" s="786"/>
      <c r="I41" s="728"/>
      <c r="J41" s="726">
        <v>54839</v>
      </c>
      <c r="K41" s="498">
        <v>43525</v>
      </c>
      <c r="L41" s="498">
        <f>K41/J41*100</f>
        <v>79.36869745983698</v>
      </c>
    </row>
    <row r="42" spans="1:12" ht="15.75" hidden="1" x14ac:dyDescent="0.25">
      <c r="A42" s="502"/>
      <c r="B42" s="503" t="s">
        <v>145</v>
      </c>
      <c r="C42" s="504"/>
      <c r="D42" s="785" t="s">
        <v>690</v>
      </c>
      <c r="E42" s="786"/>
      <c r="F42" s="801"/>
      <c r="G42" s="498"/>
      <c r="H42" s="786"/>
      <c r="I42" s="728"/>
      <c r="J42" s="726"/>
      <c r="K42" s="498"/>
      <c r="L42" s="498"/>
    </row>
    <row r="43" spans="1:12" ht="15.75" hidden="1" x14ac:dyDescent="0.25">
      <c r="A43" s="502"/>
      <c r="B43" s="503" t="s">
        <v>146</v>
      </c>
      <c r="C43" s="504"/>
      <c r="D43" s="785" t="s">
        <v>1104</v>
      </c>
      <c r="E43" s="786"/>
      <c r="F43" s="801"/>
      <c r="G43" s="498"/>
      <c r="H43" s="786"/>
      <c r="I43" s="728"/>
      <c r="J43" s="726"/>
      <c r="K43" s="498"/>
      <c r="L43" s="498"/>
    </row>
    <row r="44" spans="1:12" ht="15.75" hidden="1" x14ac:dyDescent="0.25">
      <c r="A44" s="502"/>
      <c r="B44" s="503" t="s">
        <v>147</v>
      </c>
      <c r="C44" s="504"/>
      <c r="D44" s="787" t="s">
        <v>1105</v>
      </c>
      <c r="E44" s="786"/>
      <c r="F44" s="801"/>
      <c r="G44" s="498"/>
      <c r="H44" s="786"/>
      <c r="I44" s="728"/>
      <c r="J44" s="726"/>
      <c r="K44" s="498"/>
      <c r="L44" s="498"/>
    </row>
    <row r="45" spans="1:12" ht="15.75" hidden="1" x14ac:dyDescent="0.25">
      <c r="A45" s="502"/>
      <c r="B45" s="503" t="s">
        <v>148</v>
      </c>
      <c r="C45" s="504"/>
      <c r="D45" s="803" t="s">
        <v>1106</v>
      </c>
      <c r="E45" s="786"/>
      <c r="F45" s="801"/>
      <c r="G45" s="498"/>
      <c r="H45" s="804"/>
      <c r="I45" s="728"/>
      <c r="J45" s="726">
        <v>6689</v>
      </c>
      <c r="K45" s="498">
        <v>5902</v>
      </c>
      <c r="L45" s="498">
        <f>K45/J45*100</f>
        <v>88.234414710719093</v>
      </c>
    </row>
    <row r="46" spans="1:12" ht="15.75" hidden="1" x14ac:dyDescent="0.25">
      <c r="A46" s="502"/>
      <c r="B46" s="503" t="s">
        <v>691</v>
      </c>
      <c r="C46" s="504"/>
      <c r="D46" s="787" t="s">
        <v>692</v>
      </c>
      <c r="E46" s="786"/>
      <c r="F46" s="801"/>
      <c r="G46" s="498"/>
      <c r="H46" s="786"/>
      <c r="I46" s="728">
        <f t="shared" ref="I46:I57" si="1">E46-G46-H46</f>
        <v>0</v>
      </c>
      <c r="J46" s="726"/>
      <c r="K46" s="498"/>
      <c r="L46" s="498"/>
    </row>
    <row r="47" spans="1:12" ht="15.75" hidden="1" x14ac:dyDescent="0.25">
      <c r="A47" s="502"/>
      <c r="B47" s="503" t="s">
        <v>693</v>
      </c>
      <c r="C47" s="504"/>
      <c r="D47" s="787" t="s">
        <v>696</v>
      </c>
      <c r="E47" s="786"/>
      <c r="F47" s="801"/>
      <c r="G47" s="498"/>
      <c r="H47" s="786"/>
      <c r="I47" s="728">
        <f t="shared" si="1"/>
        <v>0</v>
      </c>
      <c r="J47" s="726"/>
      <c r="K47" s="498"/>
      <c r="L47" s="498"/>
    </row>
    <row r="48" spans="1:12" ht="15.75" hidden="1" x14ac:dyDescent="0.25">
      <c r="A48" s="502"/>
      <c r="B48" s="503" t="s">
        <v>694</v>
      </c>
      <c r="C48" s="504"/>
      <c r="D48" s="803" t="s">
        <v>1107</v>
      </c>
      <c r="E48" s="786"/>
      <c r="F48" s="801"/>
      <c r="G48" s="498"/>
      <c r="H48" s="786"/>
      <c r="I48" s="728">
        <f t="shared" si="1"/>
        <v>0</v>
      </c>
      <c r="J48" s="726"/>
      <c r="K48" s="498"/>
      <c r="L48" s="498"/>
    </row>
    <row r="49" spans="1:16" ht="15.75" hidden="1" x14ac:dyDescent="0.25">
      <c r="A49" s="502"/>
      <c r="B49" s="503" t="s">
        <v>695</v>
      </c>
      <c r="C49" s="504"/>
      <c r="D49" s="785" t="s">
        <v>1108</v>
      </c>
      <c r="E49" s="786"/>
      <c r="F49" s="801"/>
      <c r="G49" s="498"/>
      <c r="H49" s="786"/>
      <c r="I49" s="728">
        <f t="shared" si="1"/>
        <v>0</v>
      </c>
      <c r="J49" s="726"/>
      <c r="K49" s="498"/>
      <c r="L49" s="498"/>
    </row>
    <row r="50" spans="1:16" ht="31.5" hidden="1" x14ac:dyDescent="0.25">
      <c r="A50" s="502"/>
      <c r="B50" s="503" t="s">
        <v>697</v>
      </c>
      <c r="C50" s="504"/>
      <c r="D50" s="785" t="s">
        <v>701</v>
      </c>
      <c r="E50" s="786"/>
      <c r="F50" s="801"/>
      <c r="G50" s="498"/>
      <c r="H50" s="786"/>
      <c r="I50" s="728">
        <f t="shared" si="1"/>
        <v>0</v>
      </c>
      <c r="J50" s="726"/>
      <c r="K50" s="498"/>
      <c r="L50" s="498"/>
    </row>
    <row r="51" spans="1:16" ht="15.75" hidden="1" x14ac:dyDescent="0.25">
      <c r="A51" s="502"/>
      <c r="B51" s="503" t="s">
        <v>698</v>
      </c>
      <c r="C51" s="504"/>
      <c r="D51" s="785" t="s">
        <v>703</v>
      </c>
      <c r="E51" s="786"/>
      <c r="F51" s="801"/>
      <c r="G51" s="498"/>
      <c r="H51" s="786"/>
      <c r="I51" s="728">
        <f t="shared" si="1"/>
        <v>0</v>
      </c>
      <c r="J51" s="726"/>
      <c r="K51" s="498"/>
      <c r="L51" s="498"/>
    </row>
    <row r="52" spans="1:16" ht="15.75" hidden="1" x14ac:dyDescent="0.25">
      <c r="A52" s="502"/>
      <c r="B52" s="503" t="s">
        <v>699</v>
      </c>
      <c r="C52" s="504"/>
      <c r="D52" s="787" t="s">
        <v>1109</v>
      </c>
      <c r="E52" s="786"/>
      <c r="F52" s="801"/>
      <c r="G52" s="498"/>
      <c r="H52" s="786"/>
      <c r="I52" s="728">
        <f t="shared" si="1"/>
        <v>0</v>
      </c>
      <c r="J52" s="726"/>
      <c r="K52" s="498"/>
      <c r="L52" s="498"/>
    </row>
    <row r="53" spans="1:16" ht="31.5" hidden="1" x14ac:dyDescent="0.25">
      <c r="A53" s="502"/>
      <c r="B53" s="503" t="s">
        <v>700</v>
      </c>
      <c r="C53" s="504"/>
      <c r="D53" s="787" t="s">
        <v>1110</v>
      </c>
      <c r="E53" s="786"/>
      <c r="F53" s="801"/>
      <c r="G53" s="498"/>
      <c r="H53" s="786"/>
      <c r="I53" s="728">
        <f t="shared" si="1"/>
        <v>0</v>
      </c>
      <c r="J53" s="726"/>
      <c r="K53" s="498"/>
      <c r="L53" s="498"/>
    </row>
    <row r="54" spans="1:16" ht="15.75" hidden="1" x14ac:dyDescent="0.25">
      <c r="A54" s="502"/>
      <c r="B54" s="503" t="s">
        <v>702</v>
      </c>
      <c r="C54" s="504"/>
      <c r="D54" s="787" t="s">
        <v>1111</v>
      </c>
      <c r="E54" s="786"/>
      <c r="F54" s="801"/>
      <c r="G54" s="498"/>
      <c r="H54" s="786"/>
      <c r="I54" s="728">
        <f t="shared" si="1"/>
        <v>0</v>
      </c>
      <c r="J54" s="726"/>
      <c r="K54" s="498"/>
      <c r="L54" s="498"/>
    </row>
    <row r="55" spans="1:16" ht="15.75" hidden="1" x14ac:dyDescent="0.25">
      <c r="A55" s="502"/>
      <c r="B55" s="503" t="s">
        <v>704</v>
      </c>
      <c r="C55" s="504"/>
      <c r="D55" s="787" t="s">
        <v>1112</v>
      </c>
      <c r="E55" s="786"/>
      <c r="F55" s="801"/>
      <c r="G55" s="498"/>
      <c r="H55" s="786"/>
      <c r="I55" s="728">
        <f t="shared" si="1"/>
        <v>0</v>
      </c>
      <c r="J55" s="726"/>
      <c r="K55" s="498"/>
      <c r="L55" s="498"/>
    </row>
    <row r="56" spans="1:16" ht="15.75" hidden="1" x14ac:dyDescent="0.25">
      <c r="A56" s="502"/>
      <c r="B56" s="503" t="s">
        <v>705</v>
      </c>
      <c r="C56" s="504"/>
      <c r="D56" s="785" t="s">
        <v>713</v>
      </c>
      <c r="E56" s="786"/>
      <c r="F56" s="801"/>
      <c r="G56" s="498"/>
      <c r="H56" s="786"/>
      <c r="I56" s="728">
        <f t="shared" si="1"/>
        <v>0</v>
      </c>
      <c r="J56" s="726"/>
      <c r="K56" s="498"/>
      <c r="L56" s="498"/>
    </row>
    <row r="57" spans="1:16" ht="15.75" hidden="1" x14ac:dyDescent="0.25">
      <c r="A57" s="502"/>
      <c r="B57" s="503" t="s">
        <v>706</v>
      </c>
      <c r="C57" s="504"/>
      <c r="D57" s="785" t="s">
        <v>1113</v>
      </c>
      <c r="E57" s="786"/>
      <c r="F57" s="801"/>
      <c r="G57" s="498"/>
      <c r="H57" s="786"/>
      <c r="I57" s="728">
        <f t="shared" si="1"/>
        <v>0</v>
      </c>
      <c r="J57" s="726"/>
      <c r="K57" s="498"/>
      <c r="L57" s="498"/>
    </row>
    <row r="58" spans="1:16" ht="15.75" hidden="1" x14ac:dyDescent="0.25">
      <c r="A58" s="502"/>
      <c r="B58" s="503" t="s">
        <v>707</v>
      </c>
      <c r="C58" s="504"/>
      <c r="D58" s="807" t="s">
        <v>1239</v>
      </c>
      <c r="E58" s="786"/>
      <c r="F58" s="505"/>
      <c r="G58" s="498"/>
      <c r="H58" s="498"/>
      <c r="I58" s="728"/>
      <c r="J58" s="726">
        <v>1576</v>
      </c>
      <c r="K58" s="498">
        <v>1576</v>
      </c>
      <c r="L58" s="498">
        <f>K58/J58*100</f>
        <v>100</v>
      </c>
    </row>
    <row r="59" spans="1:16" ht="15.75" hidden="1" x14ac:dyDescent="0.25">
      <c r="A59" s="502"/>
      <c r="B59" s="503" t="s">
        <v>709</v>
      </c>
      <c r="C59" s="504"/>
      <c r="D59" s="507" t="s">
        <v>1240</v>
      </c>
      <c r="E59" s="786"/>
      <c r="F59" s="505"/>
      <c r="G59" s="498"/>
      <c r="H59" s="498"/>
      <c r="I59" s="728"/>
      <c r="J59" s="726">
        <v>3224</v>
      </c>
      <c r="K59" s="498">
        <v>3224</v>
      </c>
      <c r="L59" s="498">
        <f>K59/J59*100</f>
        <v>100</v>
      </c>
    </row>
    <row r="60" spans="1:16" ht="15.75" hidden="1" x14ac:dyDescent="0.25">
      <c r="A60" s="502"/>
      <c r="B60" s="503" t="s">
        <v>710</v>
      </c>
      <c r="C60" s="504"/>
      <c r="D60" s="507" t="s">
        <v>1349</v>
      </c>
      <c r="E60" s="786"/>
      <c r="F60" s="505"/>
      <c r="G60" s="498"/>
      <c r="H60" s="498"/>
      <c r="I60" s="728"/>
      <c r="J60" s="726">
        <v>121</v>
      </c>
      <c r="K60" s="498">
        <v>121</v>
      </c>
      <c r="L60" s="498"/>
    </row>
    <row r="61" spans="1:16" ht="15.75" hidden="1" x14ac:dyDescent="0.25">
      <c r="A61" s="502"/>
      <c r="B61" s="503" t="s">
        <v>711</v>
      </c>
      <c r="C61" s="504"/>
      <c r="D61" s="507"/>
      <c r="E61" s="786">
        <f t="shared" ref="E61:E62" si="2">SUM(J61)</f>
        <v>0</v>
      </c>
      <c r="F61" s="505"/>
      <c r="G61" s="498"/>
      <c r="H61" s="498"/>
      <c r="I61" s="728"/>
      <c r="J61" s="726"/>
      <c r="K61" s="498"/>
      <c r="L61" s="498"/>
    </row>
    <row r="62" spans="1:16" ht="15.75" hidden="1" x14ac:dyDescent="0.25">
      <c r="A62" s="502"/>
      <c r="B62" s="503" t="s">
        <v>712</v>
      </c>
      <c r="C62" s="504"/>
      <c r="D62" s="507"/>
      <c r="E62" s="786">
        <f t="shared" si="2"/>
        <v>0</v>
      </c>
      <c r="F62" s="505"/>
      <c r="G62" s="498"/>
      <c r="H62" s="498"/>
      <c r="I62" s="728"/>
      <c r="J62" s="726"/>
      <c r="K62" s="498"/>
      <c r="L62" s="498"/>
    </row>
    <row r="63" spans="1:16" ht="15.75" hidden="1" x14ac:dyDescent="0.25">
      <c r="A63" s="502"/>
      <c r="B63" s="503" t="s">
        <v>714</v>
      </c>
      <c r="C63" s="504"/>
      <c r="D63" s="486"/>
      <c r="E63" s="498"/>
      <c r="F63" s="505"/>
      <c r="G63" s="498"/>
      <c r="H63" s="498"/>
      <c r="I63" s="728"/>
      <c r="J63" s="726"/>
      <c r="K63" s="498"/>
      <c r="L63" s="498"/>
      <c r="M63" s="1564"/>
      <c r="N63" s="1571"/>
      <c r="O63" s="1571"/>
      <c r="P63" s="1571"/>
    </row>
    <row r="64" spans="1:16" ht="15.75" hidden="1" x14ac:dyDescent="0.25">
      <c r="A64" s="502"/>
      <c r="B64" s="503" t="s">
        <v>715</v>
      </c>
      <c r="C64" s="504"/>
      <c r="D64" s="486"/>
      <c r="E64" s="498"/>
      <c r="F64" s="505"/>
      <c r="G64" s="498"/>
      <c r="H64" s="498"/>
      <c r="I64" s="728"/>
      <c r="J64" s="726"/>
      <c r="K64" s="498"/>
      <c r="L64" s="498"/>
    </row>
    <row r="65" spans="1:12" ht="15.75" hidden="1" x14ac:dyDescent="0.25">
      <c r="A65" s="502"/>
      <c r="B65" s="503" t="s">
        <v>716</v>
      </c>
      <c r="C65" s="504"/>
      <c r="D65" s="486"/>
      <c r="E65" s="498"/>
      <c r="F65" s="505"/>
      <c r="G65" s="498"/>
      <c r="H65" s="498"/>
      <c r="I65" s="728"/>
      <c r="J65" s="726"/>
      <c r="K65" s="498"/>
      <c r="L65" s="498"/>
    </row>
    <row r="66" spans="1:12" ht="15.75" hidden="1" x14ac:dyDescent="0.25">
      <c r="A66" s="502"/>
      <c r="B66" s="503" t="s">
        <v>717</v>
      </c>
      <c r="C66" s="504"/>
      <c r="D66" s="486"/>
      <c r="E66" s="498"/>
      <c r="F66" s="505"/>
      <c r="G66" s="498"/>
      <c r="H66" s="498"/>
      <c r="I66" s="728"/>
      <c r="J66" s="726"/>
      <c r="K66" s="498"/>
      <c r="L66" s="498"/>
    </row>
    <row r="67" spans="1:12" ht="15.75" hidden="1" x14ac:dyDescent="0.25">
      <c r="A67" s="502"/>
      <c r="B67" s="503" t="s">
        <v>718</v>
      </c>
      <c r="C67" s="504"/>
      <c r="D67" s="486"/>
      <c r="E67" s="498"/>
      <c r="F67" s="505"/>
      <c r="G67" s="498"/>
      <c r="H67" s="498"/>
      <c r="I67" s="728"/>
      <c r="J67" s="726"/>
      <c r="K67" s="498"/>
      <c r="L67" s="498"/>
    </row>
    <row r="68" spans="1:12" ht="15.75" hidden="1" x14ac:dyDescent="0.25">
      <c r="A68" s="502"/>
      <c r="B68" s="503" t="s">
        <v>996</v>
      </c>
      <c r="C68" s="504"/>
      <c r="D68" s="486"/>
      <c r="E68" s="498"/>
      <c r="F68" s="505"/>
      <c r="G68" s="498"/>
      <c r="H68" s="498"/>
      <c r="I68" s="728"/>
      <c r="J68" s="726"/>
      <c r="K68" s="498"/>
      <c r="L68" s="498"/>
    </row>
    <row r="69" spans="1:12" ht="15.75" hidden="1" x14ac:dyDescent="0.25">
      <c r="A69" s="502"/>
      <c r="B69" s="503" t="s">
        <v>997</v>
      </c>
      <c r="C69" s="504"/>
      <c r="D69" s="486"/>
      <c r="E69" s="498"/>
      <c r="F69" s="505"/>
      <c r="G69" s="498"/>
      <c r="H69" s="498"/>
      <c r="I69" s="728"/>
      <c r="J69" s="726"/>
      <c r="K69" s="498"/>
      <c r="L69" s="498"/>
    </row>
    <row r="70" spans="1:12" ht="15.75" hidden="1" x14ac:dyDescent="0.25">
      <c r="A70" s="502"/>
      <c r="B70" s="503" t="s">
        <v>998</v>
      </c>
      <c r="C70" s="504"/>
      <c r="D70" s="486"/>
      <c r="E70" s="498"/>
      <c r="F70" s="505"/>
      <c r="G70" s="498"/>
      <c r="H70" s="498"/>
      <c r="I70" s="728"/>
      <c r="J70" s="726"/>
      <c r="K70" s="498"/>
      <c r="L70" s="498"/>
    </row>
    <row r="71" spans="1:12" ht="15.75" hidden="1" x14ac:dyDescent="0.25">
      <c r="A71" s="502"/>
      <c r="B71" s="503" t="s">
        <v>999</v>
      </c>
      <c r="C71" s="504"/>
      <c r="D71" s="486"/>
      <c r="E71" s="498"/>
      <c r="F71" s="505"/>
      <c r="G71" s="498"/>
      <c r="H71" s="498"/>
      <c r="I71" s="728"/>
      <c r="J71" s="726"/>
      <c r="K71" s="498"/>
      <c r="L71" s="498"/>
    </row>
    <row r="72" spans="1:12" ht="15.75" hidden="1" x14ac:dyDescent="0.25">
      <c r="A72" s="502"/>
      <c r="B72" s="503" t="s">
        <v>1000</v>
      </c>
      <c r="C72" s="504"/>
      <c r="D72" s="486"/>
      <c r="E72" s="498"/>
      <c r="F72" s="505"/>
      <c r="G72" s="498"/>
      <c r="H72" s="498"/>
      <c r="I72" s="728"/>
      <c r="J72" s="726"/>
      <c r="K72" s="498"/>
      <c r="L72" s="498"/>
    </row>
    <row r="73" spans="1:12" ht="16.5" hidden="1" x14ac:dyDescent="0.2">
      <c r="A73" s="508" t="s">
        <v>12</v>
      </c>
      <c r="B73" s="504"/>
      <c r="C73" s="504"/>
      <c r="D73" s="783" t="s">
        <v>719</v>
      </c>
      <c r="E73" s="799">
        <f>SUM(E74:E78)</f>
        <v>0</v>
      </c>
      <c r="F73" s="799"/>
      <c r="G73" s="799"/>
      <c r="H73" s="799">
        <f>SUM(H74:H78)</f>
        <v>0</v>
      </c>
      <c r="I73" s="799"/>
      <c r="J73" s="799">
        <f t="shared" ref="J73:K73" si="3">SUM(J74:J78)</f>
        <v>13957</v>
      </c>
      <c r="K73" s="799">
        <f t="shared" si="3"/>
        <v>5140</v>
      </c>
      <c r="L73" s="799">
        <f>K73/J73*100</f>
        <v>36.827398438059753</v>
      </c>
    </row>
    <row r="74" spans="1:12" ht="15.75" hidden="1" x14ac:dyDescent="0.25">
      <c r="A74" s="502"/>
      <c r="B74" s="503" t="s">
        <v>720</v>
      </c>
      <c r="C74" s="504"/>
      <c r="D74" s="802" t="s">
        <v>1114</v>
      </c>
      <c r="E74" s="808"/>
      <c r="F74" s="801"/>
      <c r="G74" s="498"/>
      <c r="H74" s="808"/>
      <c r="I74" s="728"/>
      <c r="J74" s="726">
        <v>13798</v>
      </c>
      <c r="K74" s="498">
        <v>4981</v>
      </c>
      <c r="L74" s="498">
        <f>K74/J74*100</f>
        <v>36.099434700681257</v>
      </c>
    </row>
    <row r="75" spans="1:12" ht="15.75" hidden="1" x14ac:dyDescent="0.25">
      <c r="A75" s="502"/>
      <c r="B75" s="503" t="s">
        <v>538</v>
      </c>
      <c r="C75" s="504"/>
      <c r="D75" s="785" t="s">
        <v>1115</v>
      </c>
      <c r="E75" s="808"/>
      <c r="F75" s="801"/>
      <c r="G75" s="498"/>
      <c r="H75" s="786"/>
      <c r="I75" s="728"/>
      <c r="J75" s="726">
        <v>0</v>
      </c>
      <c r="K75" s="498">
        <v>0</v>
      </c>
      <c r="L75" s="498"/>
    </row>
    <row r="76" spans="1:12" ht="15.75" hidden="1" x14ac:dyDescent="0.25">
      <c r="A76" s="502"/>
      <c r="B76" s="503" t="s">
        <v>722</v>
      </c>
      <c r="C76" s="504"/>
      <c r="D76" s="785" t="s">
        <v>721</v>
      </c>
      <c r="E76" s="808"/>
      <c r="F76" s="801"/>
      <c r="G76" s="498"/>
      <c r="H76" s="786"/>
      <c r="I76" s="728"/>
      <c r="J76" s="726">
        <v>159</v>
      </c>
      <c r="K76" s="498">
        <v>159</v>
      </c>
      <c r="L76" s="498">
        <f>K76/J76*100</f>
        <v>100</v>
      </c>
    </row>
    <row r="77" spans="1:12" ht="15.75" hidden="1" x14ac:dyDescent="0.25">
      <c r="A77" s="502"/>
      <c r="B77" s="503" t="s">
        <v>724</v>
      </c>
      <c r="C77" s="504"/>
      <c r="D77" s="785" t="s">
        <v>723</v>
      </c>
      <c r="E77" s="808"/>
      <c r="F77" s="801"/>
      <c r="G77" s="498"/>
      <c r="H77" s="786"/>
      <c r="I77" s="728">
        <f t="shared" ref="I77:I86" si="4">E77-G77-H77</f>
        <v>0</v>
      </c>
      <c r="J77" s="726">
        <v>0</v>
      </c>
      <c r="K77" s="498">
        <v>0</v>
      </c>
      <c r="L77" s="498"/>
    </row>
    <row r="78" spans="1:12" ht="15.75" hidden="1" x14ac:dyDescent="0.25">
      <c r="A78" s="502"/>
      <c r="B78" s="503" t="s">
        <v>726</v>
      </c>
      <c r="C78" s="504"/>
      <c r="D78" s="785" t="s">
        <v>725</v>
      </c>
      <c r="E78" s="808"/>
      <c r="F78" s="801"/>
      <c r="G78" s="498"/>
      <c r="H78" s="786"/>
      <c r="I78" s="728">
        <f t="shared" si="4"/>
        <v>0</v>
      </c>
      <c r="J78" s="726">
        <v>0</v>
      </c>
      <c r="K78" s="498">
        <v>0</v>
      </c>
      <c r="L78" s="498"/>
    </row>
    <row r="79" spans="1:12" ht="15.75" hidden="1" x14ac:dyDescent="0.25">
      <c r="A79" s="502"/>
      <c r="B79" s="503" t="s">
        <v>727</v>
      </c>
      <c r="C79" s="504"/>
      <c r="D79" s="807"/>
      <c r="E79" s="806">
        <v>0</v>
      </c>
      <c r="F79" s="505"/>
      <c r="G79" s="498"/>
      <c r="H79" s="498">
        <v>0</v>
      </c>
      <c r="I79" s="728">
        <f t="shared" si="4"/>
        <v>0</v>
      </c>
      <c r="J79" s="726">
        <v>0</v>
      </c>
      <c r="K79" s="498">
        <v>0</v>
      </c>
      <c r="L79" s="498"/>
    </row>
    <row r="80" spans="1:12" ht="16.5" hidden="1" x14ac:dyDescent="0.2">
      <c r="A80" s="508" t="s">
        <v>68</v>
      </c>
      <c r="B80" s="504"/>
      <c r="C80" s="504"/>
      <c r="D80" s="783" t="s">
        <v>728</v>
      </c>
      <c r="E80" s="809">
        <f>SUM(E81:E103)</f>
        <v>0</v>
      </c>
      <c r="F80" s="809"/>
      <c r="G80" s="809"/>
      <c r="H80" s="809">
        <f>SUM(H81:H86)</f>
        <v>0</v>
      </c>
      <c r="I80" s="485"/>
      <c r="J80" s="725">
        <f>SUM(J81:J103)</f>
        <v>450154</v>
      </c>
      <c r="K80" s="725">
        <f>SUM(K81:K103)</f>
        <v>280985</v>
      </c>
      <c r="L80" s="485">
        <f>K80/J80*100</f>
        <v>62.419749685663128</v>
      </c>
    </row>
    <row r="81" spans="1:19" ht="15.75" hidden="1" x14ac:dyDescent="0.25">
      <c r="A81" s="502"/>
      <c r="B81" s="503" t="s">
        <v>69</v>
      </c>
      <c r="C81" s="504"/>
      <c r="D81" s="787" t="s">
        <v>729</v>
      </c>
      <c r="E81" s="786"/>
      <c r="F81" s="801"/>
      <c r="G81" s="498"/>
      <c r="H81" s="786"/>
      <c r="I81" s="728">
        <f t="shared" si="4"/>
        <v>0</v>
      </c>
      <c r="J81" s="726">
        <v>0</v>
      </c>
      <c r="K81" s="498">
        <v>0</v>
      </c>
      <c r="L81" s="498"/>
    </row>
    <row r="82" spans="1:19" ht="15.75" hidden="1" x14ac:dyDescent="0.25">
      <c r="A82" s="502"/>
      <c r="B82" s="503" t="s">
        <v>71</v>
      </c>
      <c r="C82" s="504"/>
      <c r="D82" s="802" t="s">
        <v>668</v>
      </c>
      <c r="E82" s="786"/>
      <c r="F82" s="801"/>
      <c r="G82" s="498"/>
      <c r="H82" s="786"/>
      <c r="I82" s="728">
        <f t="shared" si="4"/>
        <v>0</v>
      </c>
      <c r="J82" s="726"/>
      <c r="K82" s="498"/>
      <c r="L82" s="498"/>
    </row>
    <row r="83" spans="1:19" ht="15.75" hidden="1" x14ac:dyDescent="0.25">
      <c r="A83" s="502"/>
      <c r="B83" s="503" t="s">
        <v>73</v>
      </c>
      <c r="C83" s="504"/>
      <c r="D83" s="803" t="s">
        <v>730</v>
      </c>
      <c r="E83" s="786"/>
      <c r="F83" s="801"/>
      <c r="G83" s="498"/>
      <c r="H83" s="804"/>
      <c r="I83" s="728"/>
      <c r="J83" s="726">
        <v>6302</v>
      </c>
      <c r="K83" s="498">
        <v>5099</v>
      </c>
      <c r="L83" s="498">
        <f t="shared" ref="L83:L113" si="5">K83/J83*100</f>
        <v>80.910821961282124</v>
      </c>
    </row>
    <row r="84" spans="1:19" ht="15.75" hidden="1" x14ac:dyDescent="0.25">
      <c r="A84" s="502"/>
      <c r="B84" s="503" t="s">
        <v>731</v>
      </c>
      <c r="C84" s="504"/>
      <c r="D84" s="787" t="s">
        <v>1116</v>
      </c>
      <c r="E84" s="786"/>
      <c r="F84" s="801"/>
      <c r="G84" s="498"/>
      <c r="H84" s="786"/>
      <c r="I84" s="728"/>
      <c r="J84" s="726">
        <v>0</v>
      </c>
      <c r="K84" s="498"/>
      <c r="L84" s="498" t="e">
        <f t="shared" si="5"/>
        <v>#DIV/0!</v>
      </c>
    </row>
    <row r="85" spans="1:19" ht="31.5" hidden="1" x14ac:dyDescent="0.25">
      <c r="A85" s="502"/>
      <c r="B85" s="503" t="s">
        <v>732</v>
      </c>
      <c r="C85" s="504"/>
      <c r="D85" s="787" t="s">
        <v>1117</v>
      </c>
      <c r="E85" s="786"/>
      <c r="F85" s="801"/>
      <c r="G85" s="498"/>
      <c r="H85" s="786"/>
      <c r="I85" s="728">
        <f t="shared" si="4"/>
        <v>0</v>
      </c>
      <c r="J85" s="726">
        <v>8000</v>
      </c>
      <c r="K85" s="498"/>
      <c r="L85" s="498">
        <f t="shared" si="5"/>
        <v>0</v>
      </c>
    </row>
    <row r="86" spans="1:19" ht="15.75" hidden="1" x14ac:dyDescent="0.25">
      <c r="A86" s="502"/>
      <c r="B86" s="503" t="s">
        <v>733</v>
      </c>
      <c r="C86" s="504"/>
      <c r="D86" s="787" t="s">
        <v>1118</v>
      </c>
      <c r="E86" s="786"/>
      <c r="F86" s="801"/>
      <c r="G86" s="498"/>
      <c r="H86" s="786"/>
      <c r="I86" s="728">
        <f t="shared" si="4"/>
        <v>0</v>
      </c>
      <c r="J86" s="726">
        <v>8000</v>
      </c>
      <c r="K86" s="498"/>
      <c r="L86" s="498">
        <f t="shared" si="5"/>
        <v>0</v>
      </c>
    </row>
    <row r="87" spans="1:19" ht="15.75" hidden="1" x14ac:dyDescent="0.25">
      <c r="A87" s="502"/>
      <c r="B87" s="503" t="s">
        <v>982</v>
      </c>
      <c r="C87" s="504"/>
      <c r="D87" s="803" t="s">
        <v>1229</v>
      </c>
      <c r="E87" s="786"/>
      <c r="F87" s="801"/>
      <c r="G87" s="498"/>
      <c r="H87" s="804"/>
      <c r="I87" s="728"/>
      <c r="J87" s="726">
        <v>223660</v>
      </c>
      <c r="K87" s="498">
        <v>223660</v>
      </c>
      <c r="L87" s="498">
        <f t="shared" si="5"/>
        <v>100</v>
      </c>
    </row>
    <row r="88" spans="1:19" ht="15.75" hidden="1" x14ac:dyDescent="0.25">
      <c r="A88" s="502"/>
      <c r="B88" s="503" t="s">
        <v>1003</v>
      </c>
      <c r="C88" s="504"/>
      <c r="D88" s="787" t="s">
        <v>1230</v>
      </c>
      <c r="E88" s="786"/>
      <c r="F88" s="505"/>
      <c r="G88" s="498"/>
      <c r="H88" s="498"/>
      <c r="I88" s="728"/>
      <c r="J88" s="726">
        <v>456</v>
      </c>
      <c r="K88" s="498"/>
      <c r="L88" s="498">
        <f t="shared" si="5"/>
        <v>0</v>
      </c>
      <c r="M88" s="1564"/>
      <c r="N88" s="1571"/>
      <c r="O88" s="1571"/>
      <c r="P88" s="1571"/>
      <c r="Q88" s="1571"/>
      <c r="R88" s="1571"/>
      <c r="S88" s="1571"/>
    </row>
    <row r="89" spans="1:19" ht="15.75" hidden="1" x14ac:dyDescent="0.25">
      <c r="A89" s="502"/>
      <c r="B89" s="503" t="s">
        <v>1004</v>
      </c>
      <c r="C89" s="504"/>
      <c r="D89" s="787" t="s">
        <v>1232</v>
      </c>
      <c r="E89" s="786"/>
      <c r="F89" s="505"/>
      <c r="G89" s="498"/>
      <c r="H89" s="498"/>
      <c r="I89" s="728"/>
      <c r="J89" s="726">
        <v>145792</v>
      </c>
      <c r="K89" s="498"/>
      <c r="L89" s="498">
        <f t="shared" si="5"/>
        <v>0</v>
      </c>
      <c r="M89" s="1564"/>
      <c r="N89" s="1571"/>
      <c r="O89" s="1571"/>
      <c r="P89" s="1571"/>
      <c r="Q89" s="1571"/>
      <c r="R89" s="1571"/>
      <c r="S89" s="1571"/>
    </row>
    <row r="90" spans="1:19" ht="15.75" hidden="1" x14ac:dyDescent="0.25">
      <c r="A90" s="502"/>
      <c r="B90" s="503" t="s">
        <v>1233</v>
      </c>
      <c r="C90" s="504"/>
      <c r="D90" s="787" t="s">
        <v>1236</v>
      </c>
      <c r="E90" s="786"/>
      <c r="F90" s="505"/>
      <c r="G90" s="498"/>
      <c r="H90" s="498"/>
      <c r="I90" s="728"/>
      <c r="J90" s="726">
        <v>5240</v>
      </c>
      <c r="K90" s="498">
        <v>2514</v>
      </c>
      <c r="L90" s="498">
        <f t="shared" si="5"/>
        <v>47.977099236641223</v>
      </c>
      <c r="M90" s="1564"/>
      <c r="N90" s="1571"/>
      <c r="O90" s="1571"/>
      <c r="P90" s="1571"/>
      <c r="Q90" s="1571"/>
      <c r="R90" s="1571"/>
      <c r="S90" s="1571"/>
    </row>
    <row r="91" spans="1:19" ht="15.75" hidden="1" x14ac:dyDescent="0.25">
      <c r="A91" s="502"/>
      <c r="B91" s="503" t="s">
        <v>1241</v>
      </c>
      <c r="C91" s="504"/>
      <c r="D91" s="787" t="s">
        <v>1237</v>
      </c>
      <c r="E91" s="786"/>
      <c r="F91" s="505"/>
      <c r="G91" s="498"/>
      <c r="H91" s="498"/>
      <c r="I91" s="728"/>
      <c r="J91" s="726">
        <v>1481</v>
      </c>
      <c r="K91" s="498"/>
      <c r="L91" s="498">
        <f t="shared" si="5"/>
        <v>0</v>
      </c>
      <c r="M91" s="1564"/>
      <c r="N91" s="1571"/>
      <c r="O91" s="1571"/>
      <c r="P91" s="1571"/>
      <c r="Q91" s="1571"/>
      <c r="R91" s="1571"/>
      <c r="S91" s="1571"/>
    </row>
    <row r="92" spans="1:19" ht="15.75" hidden="1" x14ac:dyDescent="0.25">
      <c r="A92" s="502"/>
      <c r="B92" s="503" t="s">
        <v>1242</v>
      </c>
      <c r="C92" s="504"/>
      <c r="D92" s="787" t="s">
        <v>1243</v>
      </c>
      <c r="E92" s="786"/>
      <c r="F92" s="505"/>
      <c r="G92" s="498"/>
      <c r="H92" s="498"/>
      <c r="I92" s="728"/>
      <c r="J92" s="726">
        <v>1000</v>
      </c>
      <c r="K92" s="498">
        <v>849</v>
      </c>
      <c r="L92" s="498">
        <f t="shared" si="5"/>
        <v>84.899999999999991</v>
      </c>
      <c r="M92" s="1564"/>
      <c r="N92" s="1571"/>
      <c r="O92" s="1571"/>
      <c r="P92" s="1571"/>
      <c r="Q92" s="1571"/>
      <c r="R92" s="1571"/>
      <c r="S92" s="1571"/>
    </row>
    <row r="93" spans="1:19" ht="15.75" hidden="1" x14ac:dyDescent="0.25">
      <c r="A93" s="502"/>
      <c r="B93" s="503" t="s">
        <v>1247</v>
      </c>
      <c r="C93" s="504"/>
      <c r="D93" s="787" t="s">
        <v>1249</v>
      </c>
      <c r="E93" s="786"/>
      <c r="F93" s="505"/>
      <c r="G93" s="498"/>
      <c r="H93" s="498"/>
      <c r="I93" s="728"/>
      <c r="J93" s="726">
        <v>1185</v>
      </c>
      <c r="K93" s="498"/>
      <c r="L93" s="498">
        <f t="shared" si="5"/>
        <v>0</v>
      </c>
      <c r="M93" s="1564"/>
      <c r="N93" s="1571"/>
      <c r="O93" s="1571"/>
      <c r="P93" s="1571"/>
      <c r="Q93" s="1571"/>
      <c r="R93" s="1571"/>
      <c r="S93" s="1571"/>
    </row>
    <row r="94" spans="1:19" ht="15.75" hidden="1" x14ac:dyDescent="0.25">
      <c r="A94" s="502"/>
      <c r="B94" s="503" t="s">
        <v>1248</v>
      </c>
      <c r="C94" s="504"/>
      <c r="D94" s="787" t="s">
        <v>1250</v>
      </c>
      <c r="E94" s="786"/>
      <c r="F94" s="505"/>
      <c r="G94" s="498"/>
      <c r="H94" s="498"/>
      <c r="I94" s="728"/>
      <c r="J94" s="726">
        <v>70</v>
      </c>
      <c r="K94" s="498">
        <v>69</v>
      </c>
      <c r="L94" s="498">
        <f t="shared" si="5"/>
        <v>98.571428571428584</v>
      </c>
      <c r="M94" s="1564"/>
      <c r="N94" s="1571"/>
      <c r="O94" s="1571"/>
      <c r="P94" s="1571"/>
      <c r="Q94" s="1571"/>
      <c r="R94" s="1571"/>
      <c r="S94" s="1571"/>
    </row>
    <row r="95" spans="1:19" ht="31.5" hidden="1" x14ac:dyDescent="0.25">
      <c r="A95" s="502"/>
      <c r="B95" s="503" t="s">
        <v>1251</v>
      </c>
      <c r="C95" s="504"/>
      <c r="D95" s="787" t="s">
        <v>1252</v>
      </c>
      <c r="E95" s="786"/>
      <c r="F95" s="505"/>
      <c r="G95" s="498"/>
      <c r="H95" s="498"/>
      <c r="I95" s="728"/>
      <c r="J95" s="726">
        <v>941</v>
      </c>
      <c r="K95" s="498">
        <v>865</v>
      </c>
      <c r="L95" s="498">
        <f t="shared" si="5"/>
        <v>91.92348565356005</v>
      </c>
      <c r="M95" s="1564"/>
      <c r="N95" s="1571"/>
      <c r="O95" s="1571"/>
      <c r="P95" s="1571"/>
      <c r="Q95" s="1571"/>
      <c r="R95" s="1571"/>
      <c r="S95" s="1571"/>
    </row>
    <row r="96" spans="1:19" ht="15.75" hidden="1" x14ac:dyDescent="0.25">
      <c r="A96" s="502"/>
      <c r="B96" s="503" t="s">
        <v>1253</v>
      </c>
      <c r="C96" s="504"/>
      <c r="D96" s="787" t="s">
        <v>1254</v>
      </c>
      <c r="E96" s="786"/>
      <c r="F96" s="505"/>
      <c r="G96" s="498"/>
      <c r="H96" s="498"/>
      <c r="I96" s="728"/>
      <c r="J96" s="726">
        <v>256</v>
      </c>
      <c r="K96" s="498">
        <v>256</v>
      </c>
      <c r="L96" s="498">
        <f t="shared" ref="L96:L99" si="6">K96/J96*100</f>
        <v>100</v>
      </c>
      <c r="M96" s="1564"/>
      <c r="N96" s="1571"/>
      <c r="O96" s="1571"/>
      <c r="P96" s="1571"/>
      <c r="Q96" s="1571"/>
      <c r="R96" s="1571"/>
      <c r="S96" s="1571"/>
    </row>
    <row r="97" spans="1:19" ht="15.75" hidden="1" x14ac:dyDescent="0.25">
      <c r="A97" s="502"/>
      <c r="B97" s="503" t="s">
        <v>1350</v>
      </c>
      <c r="C97" s="504"/>
      <c r="D97" s="787" t="s">
        <v>1357</v>
      </c>
      <c r="E97" s="786"/>
      <c r="F97" s="505"/>
      <c r="G97" s="498"/>
      <c r="H97" s="498"/>
      <c r="I97" s="728"/>
      <c r="J97" s="726">
        <v>319</v>
      </c>
      <c r="K97" s="498">
        <v>319</v>
      </c>
      <c r="L97" s="498">
        <f t="shared" si="6"/>
        <v>100</v>
      </c>
      <c r="M97" s="1564"/>
      <c r="N97" s="1571"/>
      <c r="O97" s="1571"/>
      <c r="P97" s="1571"/>
      <c r="Q97" s="1571"/>
      <c r="R97" s="1571"/>
      <c r="S97" s="1571"/>
    </row>
    <row r="98" spans="1:19" ht="15.75" hidden="1" x14ac:dyDescent="0.25">
      <c r="A98" s="502"/>
      <c r="B98" s="503" t="s">
        <v>1351</v>
      </c>
      <c r="C98" s="504"/>
      <c r="D98" s="787" t="s">
        <v>1358</v>
      </c>
      <c r="E98" s="786"/>
      <c r="F98" s="505"/>
      <c r="G98" s="498"/>
      <c r="H98" s="498"/>
      <c r="I98" s="728"/>
      <c r="J98" s="726">
        <v>100</v>
      </c>
      <c r="K98" s="498">
        <v>100</v>
      </c>
      <c r="L98" s="498">
        <f t="shared" si="6"/>
        <v>100</v>
      </c>
      <c r="M98" s="1564"/>
      <c r="N98" s="1571"/>
      <c r="O98" s="1571"/>
      <c r="P98" s="1571"/>
      <c r="Q98" s="1571"/>
      <c r="R98" s="1571"/>
      <c r="S98" s="1571"/>
    </row>
    <row r="99" spans="1:19" ht="15.75" hidden="1" x14ac:dyDescent="0.25">
      <c r="A99" s="502"/>
      <c r="B99" s="503" t="s">
        <v>1352</v>
      </c>
      <c r="C99" s="504"/>
      <c r="D99" s="787" t="s">
        <v>1359</v>
      </c>
      <c r="E99" s="786"/>
      <c r="F99" s="505"/>
      <c r="G99" s="498"/>
      <c r="H99" s="498"/>
      <c r="I99" s="728"/>
      <c r="J99" s="726">
        <v>109</v>
      </c>
      <c r="K99" s="498">
        <v>109</v>
      </c>
      <c r="L99" s="498">
        <f t="shared" si="6"/>
        <v>100</v>
      </c>
      <c r="M99" s="1564"/>
      <c r="N99" s="1571"/>
      <c r="O99" s="1571"/>
      <c r="P99" s="1571"/>
      <c r="Q99" s="1571"/>
      <c r="R99" s="1571"/>
      <c r="S99" s="1571"/>
    </row>
    <row r="100" spans="1:19" ht="15.75" hidden="1" x14ac:dyDescent="0.25">
      <c r="A100" s="502"/>
      <c r="B100" s="503" t="s">
        <v>1353</v>
      </c>
      <c r="C100" s="504"/>
      <c r="D100" s="787" t="s">
        <v>1360</v>
      </c>
      <c r="E100" s="786"/>
      <c r="F100" s="505"/>
      <c r="G100" s="498"/>
      <c r="H100" s="498"/>
      <c r="I100" s="728"/>
      <c r="J100" s="726">
        <v>1174</v>
      </c>
      <c r="K100" s="498">
        <v>1174</v>
      </c>
      <c r="L100" s="498">
        <f t="shared" si="5"/>
        <v>100</v>
      </c>
      <c r="M100" s="1564"/>
      <c r="N100" s="1571"/>
      <c r="O100" s="1571"/>
      <c r="P100" s="1571"/>
      <c r="Q100" s="1571"/>
      <c r="R100" s="1571"/>
      <c r="S100" s="1571"/>
    </row>
    <row r="101" spans="1:19" ht="15.75" hidden="1" x14ac:dyDescent="0.25">
      <c r="A101" s="502"/>
      <c r="B101" s="503" t="s">
        <v>1354</v>
      </c>
      <c r="C101" s="504"/>
      <c r="D101" s="787" t="s">
        <v>1361</v>
      </c>
      <c r="E101" s="786"/>
      <c r="F101" s="505"/>
      <c r="G101" s="498"/>
      <c r="H101" s="498"/>
      <c r="I101" s="728"/>
      <c r="J101" s="726">
        <v>221</v>
      </c>
      <c r="K101" s="498">
        <v>221</v>
      </c>
      <c r="L101" s="498">
        <f t="shared" ref="L101" si="7">K101/J101*100</f>
        <v>100</v>
      </c>
      <c r="M101" s="1564"/>
      <c r="N101" s="1571"/>
      <c r="O101" s="1571"/>
      <c r="P101" s="1571"/>
      <c r="Q101" s="1571"/>
      <c r="R101" s="1571"/>
      <c r="S101" s="1571"/>
    </row>
    <row r="102" spans="1:19" ht="15.75" hidden="1" x14ac:dyDescent="0.25">
      <c r="A102" s="502"/>
      <c r="B102" s="503" t="s">
        <v>1355</v>
      </c>
      <c r="C102" s="504"/>
      <c r="D102" s="787" t="s">
        <v>1362</v>
      </c>
      <c r="E102" s="786"/>
      <c r="F102" s="505"/>
      <c r="G102" s="498"/>
      <c r="H102" s="498"/>
      <c r="I102" s="728"/>
      <c r="J102" s="726">
        <v>98</v>
      </c>
      <c r="K102" s="498">
        <v>0</v>
      </c>
      <c r="L102" s="498">
        <f t="shared" ref="L102" si="8">K102/J102*100</f>
        <v>0</v>
      </c>
      <c r="M102" s="1564"/>
      <c r="N102" s="1571"/>
      <c r="O102" s="1571"/>
      <c r="P102" s="1571"/>
      <c r="Q102" s="1571"/>
      <c r="R102" s="1571"/>
      <c r="S102" s="1571"/>
    </row>
    <row r="103" spans="1:19" ht="15.75" hidden="1" x14ac:dyDescent="0.25">
      <c r="A103" s="502"/>
      <c r="B103" s="503" t="s">
        <v>1356</v>
      </c>
      <c r="C103" s="504"/>
      <c r="D103" s="787" t="s">
        <v>1363</v>
      </c>
      <c r="E103" s="786"/>
      <c r="F103" s="505"/>
      <c r="G103" s="498"/>
      <c r="H103" s="498"/>
      <c r="I103" s="728"/>
      <c r="J103" s="726">
        <v>45750</v>
      </c>
      <c r="K103" s="498">
        <v>45750</v>
      </c>
      <c r="L103" s="498">
        <f t="shared" si="5"/>
        <v>100</v>
      </c>
      <c r="M103" s="1564"/>
      <c r="N103" s="1571"/>
      <c r="O103" s="1571"/>
      <c r="P103" s="1571"/>
      <c r="Q103" s="1571"/>
      <c r="R103" s="1571"/>
      <c r="S103" s="1571"/>
    </row>
    <row r="104" spans="1:19" s="473" customFormat="1" ht="16.5" hidden="1" x14ac:dyDescent="0.2">
      <c r="A104" s="1572" t="s">
        <v>734</v>
      </c>
      <c r="B104" s="1572"/>
      <c r="C104" s="1572"/>
      <c r="D104" s="1573"/>
      <c r="E104" s="725">
        <f>SUM(E151+E105+E119+E123+E126+E129+E133+E135+E144+E146+E149)</f>
        <v>0</v>
      </c>
      <c r="F104" s="485"/>
      <c r="G104" s="485"/>
      <c r="H104" s="485">
        <f>SUM(H105)</f>
        <v>0</v>
      </c>
      <c r="I104" s="485"/>
      <c r="J104" s="725">
        <f>SUM(J151+J105+J119+J123+J126+J129+J133+J135+J144+J146+J149)</f>
        <v>26976</v>
      </c>
      <c r="K104" s="485">
        <f>SUM(K151+K105+K119+K123+K126+K129+K133+K135+K144+K146+K149)</f>
        <v>16247</v>
      </c>
      <c r="L104" s="912">
        <f t="shared" si="5"/>
        <v>60.227609727164889</v>
      </c>
    </row>
    <row r="105" spans="1:19" ht="16.5" hidden="1" x14ac:dyDescent="0.2">
      <c r="A105" s="510" t="s">
        <v>27</v>
      </c>
      <c r="B105" s="511"/>
      <c r="C105" s="512"/>
      <c r="D105" s="783" t="s">
        <v>496</v>
      </c>
      <c r="E105" s="809">
        <f>SUM(E106:E118)</f>
        <v>0</v>
      </c>
      <c r="F105" s="809"/>
      <c r="G105" s="809"/>
      <c r="H105" s="809">
        <f>SUM(H106:H118)</f>
        <v>0</v>
      </c>
      <c r="I105" s="483"/>
      <c r="J105" s="725">
        <f>SUM(J106:J118)</f>
        <v>17440</v>
      </c>
      <c r="K105" s="485">
        <f>SUM(K106:K118)</f>
        <v>4919</v>
      </c>
      <c r="L105" s="912">
        <f t="shared" si="5"/>
        <v>28.205275229357795</v>
      </c>
    </row>
    <row r="106" spans="1:19" ht="15.75" hidden="1" x14ac:dyDescent="0.25">
      <c r="A106" s="502"/>
      <c r="B106" s="503" t="s">
        <v>735</v>
      </c>
      <c r="C106" s="504"/>
      <c r="D106" s="787" t="s">
        <v>736</v>
      </c>
      <c r="E106" s="786"/>
      <c r="F106" s="801"/>
      <c r="G106" s="498"/>
      <c r="H106" s="786"/>
      <c r="I106" s="728"/>
      <c r="J106" s="726">
        <v>6000</v>
      </c>
      <c r="K106" s="498">
        <v>0</v>
      </c>
      <c r="L106" s="498">
        <f t="shared" si="5"/>
        <v>0</v>
      </c>
    </row>
    <row r="107" spans="1:19" ht="15.75" hidden="1" x14ac:dyDescent="0.25">
      <c r="A107" s="502"/>
      <c r="B107" s="503" t="s">
        <v>737</v>
      </c>
      <c r="C107" s="504"/>
      <c r="D107" s="787" t="s">
        <v>738</v>
      </c>
      <c r="E107" s="786"/>
      <c r="F107" s="801"/>
      <c r="G107" s="498"/>
      <c r="H107" s="786"/>
      <c r="I107" s="728">
        <f t="shared" ref="I107:I118" si="9">E107-G107-H107</f>
        <v>0</v>
      </c>
      <c r="J107" s="726">
        <v>0</v>
      </c>
      <c r="K107" s="498">
        <v>0</v>
      </c>
      <c r="L107" s="498"/>
    </row>
    <row r="108" spans="1:19" ht="15.75" hidden="1" x14ac:dyDescent="0.25">
      <c r="A108" s="502"/>
      <c r="B108" s="503" t="s">
        <v>739</v>
      </c>
      <c r="C108" s="504"/>
      <c r="D108" s="787" t="s">
        <v>1119</v>
      </c>
      <c r="E108" s="786"/>
      <c r="F108" s="801"/>
      <c r="G108" s="498"/>
      <c r="H108" s="786"/>
      <c r="I108" s="728">
        <f t="shared" si="9"/>
        <v>0</v>
      </c>
      <c r="J108" s="726">
        <v>0</v>
      </c>
      <c r="K108" s="498">
        <v>0</v>
      </c>
      <c r="L108" s="498"/>
    </row>
    <row r="109" spans="1:19" ht="15.75" hidden="1" x14ac:dyDescent="0.25">
      <c r="A109" s="502"/>
      <c r="B109" s="503" t="s">
        <v>741</v>
      </c>
      <c r="C109" s="504"/>
      <c r="D109" s="802" t="s">
        <v>740</v>
      </c>
      <c r="E109" s="786"/>
      <c r="F109" s="801"/>
      <c r="G109" s="498"/>
      <c r="H109" s="786"/>
      <c r="I109" s="728">
        <f t="shared" si="9"/>
        <v>0</v>
      </c>
      <c r="J109" s="726">
        <v>0</v>
      </c>
      <c r="K109" s="498">
        <v>0</v>
      </c>
      <c r="L109" s="498"/>
    </row>
    <row r="110" spans="1:19" ht="15.75" hidden="1" x14ac:dyDescent="0.25">
      <c r="A110" s="502"/>
      <c r="B110" s="503" t="s">
        <v>743</v>
      </c>
      <c r="C110" s="504"/>
      <c r="D110" s="802" t="s">
        <v>742</v>
      </c>
      <c r="E110" s="786"/>
      <c r="F110" s="801"/>
      <c r="G110" s="498"/>
      <c r="H110" s="786"/>
      <c r="I110" s="728">
        <f t="shared" si="9"/>
        <v>0</v>
      </c>
      <c r="J110" s="726">
        <v>0</v>
      </c>
      <c r="K110" s="498">
        <v>0</v>
      </c>
      <c r="L110" s="498"/>
    </row>
    <row r="111" spans="1:19" ht="15.75" hidden="1" x14ac:dyDescent="0.25">
      <c r="A111" s="502"/>
      <c r="B111" s="503" t="s">
        <v>744</v>
      </c>
      <c r="C111" s="504"/>
      <c r="D111" s="787" t="s">
        <v>745</v>
      </c>
      <c r="E111" s="786"/>
      <c r="F111" s="801"/>
      <c r="G111" s="498"/>
      <c r="H111" s="786"/>
      <c r="I111" s="728">
        <f t="shared" si="9"/>
        <v>0</v>
      </c>
      <c r="J111" s="726">
        <v>1000</v>
      </c>
      <c r="K111" s="498">
        <v>0</v>
      </c>
      <c r="L111" s="498">
        <f t="shared" si="5"/>
        <v>0</v>
      </c>
    </row>
    <row r="112" spans="1:19" ht="15.75" hidden="1" x14ac:dyDescent="0.25">
      <c r="A112" s="502"/>
      <c r="B112" s="503" t="s">
        <v>746</v>
      </c>
      <c r="C112" s="504"/>
      <c r="D112" s="787" t="s">
        <v>747</v>
      </c>
      <c r="E112" s="786"/>
      <c r="F112" s="801"/>
      <c r="G112" s="498"/>
      <c r="H112" s="786"/>
      <c r="I112" s="728">
        <f t="shared" si="9"/>
        <v>0</v>
      </c>
      <c r="J112" s="726">
        <v>0</v>
      </c>
      <c r="K112" s="498">
        <v>0</v>
      </c>
      <c r="L112" s="498"/>
    </row>
    <row r="113" spans="1:12" ht="15.75" hidden="1" x14ac:dyDescent="0.25">
      <c r="A113" s="502"/>
      <c r="B113" s="503" t="s">
        <v>748</v>
      </c>
      <c r="C113" s="504"/>
      <c r="D113" s="787" t="s">
        <v>1120</v>
      </c>
      <c r="E113" s="786"/>
      <c r="F113" s="801"/>
      <c r="G113" s="498"/>
      <c r="H113" s="786"/>
      <c r="I113" s="728"/>
      <c r="J113" s="726">
        <v>2661</v>
      </c>
      <c r="K113" s="498">
        <v>2097</v>
      </c>
      <c r="L113" s="498">
        <f t="shared" si="5"/>
        <v>78.804960541149953</v>
      </c>
    </row>
    <row r="114" spans="1:12" ht="15.75" hidden="1" x14ac:dyDescent="0.25">
      <c r="A114" s="502"/>
      <c r="B114" s="503" t="s">
        <v>991</v>
      </c>
      <c r="C114" s="504"/>
      <c r="D114" s="805" t="s">
        <v>1245</v>
      </c>
      <c r="E114" s="786"/>
      <c r="F114" s="505"/>
      <c r="G114" s="498"/>
      <c r="H114" s="806"/>
      <c r="I114" s="728"/>
      <c r="J114" s="726">
        <v>3707</v>
      </c>
      <c r="K114" s="498">
        <v>2750</v>
      </c>
      <c r="L114" s="498">
        <f>K114/J114*100</f>
        <v>74.183976261127597</v>
      </c>
    </row>
    <row r="115" spans="1:12" ht="15.75" hidden="1" x14ac:dyDescent="0.25">
      <c r="A115" s="502"/>
      <c r="B115" s="503" t="s">
        <v>992</v>
      </c>
      <c r="C115" s="504"/>
      <c r="D115" s="506" t="s">
        <v>993</v>
      </c>
      <c r="E115" s="786"/>
      <c r="F115" s="505"/>
      <c r="G115" s="498"/>
      <c r="H115" s="498"/>
      <c r="I115" s="728">
        <f t="shared" ref="I115:I117" si="10">E115-G115-H115</f>
        <v>0</v>
      </c>
      <c r="J115" s="726"/>
      <c r="K115" s="498"/>
      <c r="L115" s="498"/>
    </row>
    <row r="116" spans="1:12" ht="15.75" hidden="1" x14ac:dyDescent="0.25">
      <c r="A116" s="502"/>
      <c r="B116" s="503" t="s">
        <v>1333</v>
      </c>
      <c r="C116" s="504"/>
      <c r="D116" s="506" t="s">
        <v>1334</v>
      </c>
      <c r="E116" s="786"/>
      <c r="F116" s="505"/>
      <c r="G116" s="498"/>
      <c r="H116" s="498"/>
      <c r="I116" s="728">
        <f t="shared" ref="I116" si="11">E116-G116-H116</f>
        <v>0</v>
      </c>
      <c r="J116" s="726">
        <v>50</v>
      </c>
      <c r="K116" s="498">
        <v>50</v>
      </c>
      <c r="L116" s="498"/>
    </row>
    <row r="117" spans="1:12" ht="15.75" hidden="1" x14ac:dyDescent="0.25">
      <c r="A117" s="502"/>
      <c r="B117" s="503" t="s">
        <v>1335</v>
      </c>
      <c r="C117" s="504"/>
      <c r="D117" s="506" t="s">
        <v>1336</v>
      </c>
      <c r="E117" s="786"/>
      <c r="F117" s="505"/>
      <c r="G117" s="498"/>
      <c r="H117" s="498"/>
      <c r="I117" s="728">
        <f t="shared" si="10"/>
        <v>0</v>
      </c>
      <c r="J117" s="726">
        <v>22</v>
      </c>
      <c r="K117" s="498">
        <v>22</v>
      </c>
      <c r="L117" s="498"/>
    </row>
    <row r="118" spans="1:12" ht="15.75" hidden="1" x14ac:dyDescent="0.25">
      <c r="A118" s="502"/>
      <c r="B118" s="503" t="s">
        <v>1337</v>
      </c>
      <c r="C118" s="504"/>
      <c r="D118" s="506" t="s">
        <v>1338</v>
      </c>
      <c r="E118" s="786"/>
      <c r="F118" s="505"/>
      <c r="G118" s="498"/>
      <c r="H118" s="498"/>
      <c r="I118" s="728">
        <f t="shared" si="9"/>
        <v>0</v>
      </c>
      <c r="J118" s="726">
        <v>4000</v>
      </c>
      <c r="K118" s="498"/>
      <c r="L118" s="498"/>
    </row>
    <row r="119" spans="1:12" ht="16.5" hidden="1" x14ac:dyDescent="0.2">
      <c r="A119" s="510" t="s">
        <v>32</v>
      </c>
      <c r="B119" s="511"/>
      <c r="C119" s="512"/>
      <c r="D119" s="513" t="s">
        <v>562</v>
      </c>
      <c r="E119" s="725">
        <f>SUM(E120:E122)</f>
        <v>0</v>
      </c>
      <c r="F119" s="483"/>
      <c r="G119" s="483"/>
      <c r="H119" s="483">
        <v>0</v>
      </c>
      <c r="I119" s="483"/>
      <c r="J119" s="725">
        <f>SUM(J120:J122)</f>
        <v>1960</v>
      </c>
      <c r="K119" s="725">
        <f>SUM(K120:K122)</f>
        <v>218</v>
      </c>
      <c r="L119" s="913">
        <f t="shared" ref="L119:L124" si="12">K119/J119*100</f>
        <v>11.122448979591837</v>
      </c>
    </row>
    <row r="120" spans="1:12" ht="15.75" hidden="1" x14ac:dyDescent="0.25">
      <c r="A120" s="502"/>
      <c r="B120" s="503" t="s">
        <v>33</v>
      </c>
      <c r="C120" s="504"/>
      <c r="D120" s="506" t="s">
        <v>1246</v>
      </c>
      <c r="E120" s="498"/>
      <c r="F120" s="505"/>
      <c r="G120" s="498"/>
      <c r="H120" s="498"/>
      <c r="I120" s="728"/>
      <c r="J120" s="726">
        <v>170</v>
      </c>
      <c r="K120" s="498">
        <v>170</v>
      </c>
      <c r="L120" s="498">
        <f t="shared" si="12"/>
        <v>100</v>
      </c>
    </row>
    <row r="121" spans="1:12" ht="15.75" hidden="1" x14ac:dyDescent="0.25">
      <c r="A121" s="502"/>
      <c r="B121" s="503" t="s">
        <v>35</v>
      </c>
      <c r="C121" s="504"/>
      <c r="D121" s="506" t="s">
        <v>1256</v>
      </c>
      <c r="E121" s="498"/>
      <c r="F121" s="505"/>
      <c r="G121" s="498"/>
      <c r="H121" s="498"/>
      <c r="I121" s="728"/>
      <c r="J121" s="726">
        <v>48</v>
      </c>
      <c r="K121" s="498">
        <v>48</v>
      </c>
      <c r="L121" s="498">
        <f t="shared" si="12"/>
        <v>100</v>
      </c>
    </row>
    <row r="122" spans="1:12" ht="15.75" hidden="1" x14ac:dyDescent="0.25">
      <c r="A122" s="502"/>
      <c r="B122" s="503" t="s">
        <v>1211</v>
      </c>
      <c r="C122" s="504"/>
      <c r="D122" s="506" t="s">
        <v>1339</v>
      </c>
      <c r="E122" s="498"/>
      <c r="F122" s="505"/>
      <c r="G122" s="498"/>
      <c r="H122" s="498"/>
      <c r="I122" s="728"/>
      <c r="J122" s="726">
        <v>1742</v>
      </c>
      <c r="K122" s="498">
        <v>0</v>
      </c>
      <c r="L122" s="498">
        <f t="shared" si="12"/>
        <v>0</v>
      </c>
    </row>
    <row r="123" spans="1:12" ht="16.5" hidden="1" x14ac:dyDescent="0.2">
      <c r="A123" s="510" t="s">
        <v>74</v>
      </c>
      <c r="B123" s="511"/>
      <c r="C123" s="512"/>
      <c r="D123" s="513" t="s">
        <v>563</v>
      </c>
      <c r="E123" s="725"/>
      <c r="F123" s="483"/>
      <c r="G123" s="483"/>
      <c r="H123" s="483">
        <v>0</v>
      </c>
      <c r="I123" s="483"/>
      <c r="J123" s="725">
        <f>SUM(J124)</f>
        <v>483</v>
      </c>
      <c r="K123" s="725">
        <f>SUM(K124)</f>
        <v>483</v>
      </c>
      <c r="L123" s="912">
        <f t="shared" si="12"/>
        <v>100</v>
      </c>
    </row>
    <row r="124" spans="1:12" ht="15.75" hidden="1" x14ac:dyDescent="0.25">
      <c r="A124" s="502"/>
      <c r="B124" s="503" t="s">
        <v>134</v>
      </c>
      <c r="C124" s="504"/>
      <c r="D124" s="506" t="s">
        <v>1257</v>
      </c>
      <c r="E124" s="498"/>
      <c r="F124" s="505"/>
      <c r="G124" s="498"/>
      <c r="H124" s="498"/>
      <c r="I124" s="728"/>
      <c r="J124" s="726">
        <v>483</v>
      </c>
      <c r="K124" s="498">
        <v>483</v>
      </c>
      <c r="L124" s="498">
        <f t="shared" si="12"/>
        <v>100</v>
      </c>
    </row>
    <row r="125" spans="1:12" ht="15.75" hidden="1" x14ac:dyDescent="0.25">
      <c r="A125" s="502"/>
      <c r="B125" s="503" t="s">
        <v>987</v>
      </c>
      <c r="C125" s="504"/>
      <c r="D125" s="506"/>
      <c r="E125" s="498"/>
      <c r="F125" s="505"/>
      <c r="G125" s="498"/>
      <c r="H125" s="498"/>
      <c r="I125" s="728"/>
      <c r="J125" s="726"/>
      <c r="K125" s="498"/>
      <c r="L125" s="498"/>
    </row>
    <row r="126" spans="1:12" ht="16.5" hidden="1" x14ac:dyDescent="0.2">
      <c r="A126" s="510" t="s">
        <v>38</v>
      </c>
      <c r="B126" s="511"/>
      <c r="C126" s="512"/>
      <c r="D126" s="513" t="s">
        <v>615</v>
      </c>
      <c r="E126" s="725"/>
      <c r="F126" s="483"/>
      <c r="G126" s="483"/>
      <c r="H126" s="483">
        <v>0</v>
      </c>
      <c r="I126" s="483"/>
      <c r="J126" s="725">
        <f>SUM(J127)</f>
        <v>486</v>
      </c>
      <c r="K126" s="725">
        <f>SUM(K127)</f>
        <v>0</v>
      </c>
      <c r="L126" s="509"/>
    </row>
    <row r="127" spans="1:12" ht="15.75" hidden="1" x14ac:dyDescent="0.25">
      <c r="A127" s="502"/>
      <c r="B127" s="503" t="s">
        <v>39</v>
      </c>
      <c r="C127" s="504"/>
      <c r="D127" s="506" t="s">
        <v>1260</v>
      </c>
      <c r="E127" s="498"/>
      <c r="F127" s="505"/>
      <c r="G127" s="498"/>
      <c r="H127" s="498"/>
      <c r="I127" s="728"/>
      <c r="J127" s="726">
        <v>486</v>
      </c>
      <c r="K127" s="498"/>
      <c r="L127" s="498">
        <f>K127/J127*100</f>
        <v>0</v>
      </c>
    </row>
    <row r="128" spans="1:12" ht="15.75" hidden="1" x14ac:dyDescent="0.25">
      <c r="A128" s="502"/>
      <c r="B128" s="503" t="s">
        <v>40</v>
      </c>
      <c r="C128" s="504"/>
      <c r="D128" s="506"/>
      <c r="E128" s="498"/>
      <c r="F128" s="505"/>
      <c r="G128" s="498"/>
      <c r="H128" s="498"/>
      <c r="I128" s="728"/>
      <c r="J128" s="726"/>
      <c r="K128" s="498"/>
      <c r="L128" s="498"/>
    </row>
    <row r="129" spans="1:17" ht="16.5" hidden="1" x14ac:dyDescent="0.2">
      <c r="A129" s="510" t="s">
        <v>88</v>
      </c>
      <c r="B129" s="511"/>
      <c r="C129" s="512"/>
      <c r="D129" s="513" t="s">
        <v>568</v>
      </c>
      <c r="E129" s="725">
        <f>SUM(E132+E130+E131)</f>
        <v>0</v>
      </c>
      <c r="F129" s="483"/>
      <c r="G129" s="920"/>
      <c r="H129" s="921">
        <f>H130+H132+H131</f>
        <v>0</v>
      </c>
      <c r="I129" s="483"/>
      <c r="J129" s="725">
        <f>SUM(J132+J130+J131)</f>
        <v>604</v>
      </c>
      <c r="K129" s="485">
        <f>SUM(K132+K130+K131)</f>
        <v>604</v>
      </c>
      <c r="L129" s="913">
        <f t="shared" ref="L129:L134" si="13">K129/J129*100</f>
        <v>100</v>
      </c>
    </row>
    <row r="130" spans="1:17" ht="15.75" hidden="1" x14ac:dyDescent="0.25">
      <c r="A130" s="502"/>
      <c r="B130" s="503" t="s">
        <v>749</v>
      </c>
      <c r="C130" s="504"/>
      <c r="D130" s="506" t="s">
        <v>1258</v>
      </c>
      <c r="E130" s="498"/>
      <c r="F130" s="505"/>
      <c r="G130" s="498"/>
      <c r="H130" s="498"/>
      <c r="I130" s="728"/>
      <c r="J130" s="726">
        <v>86</v>
      </c>
      <c r="K130" s="498">
        <v>86</v>
      </c>
      <c r="L130" s="498">
        <f t="shared" si="13"/>
        <v>100</v>
      </c>
    </row>
    <row r="131" spans="1:17" ht="15.75" hidden="1" x14ac:dyDescent="0.25">
      <c r="A131" s="502"/>
      <c r="B131" s="503" t="s">
        <v>750</v>
      </c>
      <c r="C131" s="504"/>
      <c r="D131" s="506" t="s">
        <v>1259</v>
      </c>
      <c r="E131" s="498"/>
      <c r="F131" s="505"/>
      <c r="G131" s="498"/>
      <c r="H131" s="498"/>
      <c r="I131" s="728"/>
      <c r="J131" s="726">
        <v>36</v>
      </c>
      <c r="K131" s="498">
        <v>36</v>
      </c>
      <c r="L131" s="498">
        <f t="shared" si="13"/>
        <v>100</v>
      </c>
    </row>
    <row r="132" spans="1:17" ht="15.75" hidden="1" x14ac:dyDescent="0.25">
      <c r="A132" s="502"/>
      <c r="B132" s="503" t="s">
        <v>1283</v>
      </c>
      <c r="C132" s="504"/>
      <c r="D132" s="506" t="s">
        <v>1284</v>
      </c>
      <c r="E132" s="498"/>
      <c r="F132" s="505"/>
      <c r="G132" s="498"/>
      <c r="H132" s="498"/>
      <c r="I132" s="728"/>
      <c r="J132" s="726">
        <v>482</v>
      </c>
      <c r="K132" s="498">
        <v>482</v>
      </c>
      <c r="L132" s="498">
        <f t="shared" si="13"/>
        <v>100</v>
      </c>
    </row>
    <row r="133" spans="1:17" ht="16.5" hidden="1" x14ac:dyDescent="0.2">
      <c r="A133" s="510" t="s">
        <v>41</v>
      </c>
      <c r="B133" s="511"/>
      <c r="C133" s="512"/>
      <c r="D133" s="513" t="s">
        <v>564</v>
      </c>
      <c r="E133" s="725">
        <f>SUM(E134)</f>
        <v>0</v>
      </c>
      <c r="F133" s="483"/>
      <c r="G133" s="483"/>
      <c r="H133" s="483">
        <v>0</v>
      </c>
      <c r="I133" s="483"/>
      <c r="J133" s="725">
        <f>SUM(J134)</f>
        <v>89</v>
      </c>
      <c r="K133" s="485">
        <f>SUM(K134)</f>
        <v>89</v>
      </c>
      <c r="L133" s="912">
        <f t="shared" si="13"/>
        <v>100</v>
      </c>
    </row>
    <row r="134" spans="1:17" ht="15.75" hidden="1" x14ac:dyDescent="0.25">
      <c r="A134" s="502"/>
      <c r="B134" s="503" t="s">
        <v>751</v>
      </c>
      <c r="C134" s="504"/>
      <c r="D134" s="506" t="s">
        <v>1261</v>
      </c>
      <c r="E134" s="498"/>
      <c r="F134" s="505"/>
      <c r="G134" s="498"/>
      <c r="H134" s="498"/>
      <c r="I134" s="728"/>
      <c r="J134" s="726">
        <v>89</v>
      </c>
      <c r="K134" s="498">
        <v>89</v>
      </c>
      <c r="L134" s="498">
        <f t="shared" si="13"/>
        <v>100</v>
      </c>
    </row>
    <row r="135" spans="1:17" ht="16.5" hidden="1" x14ac:dyDescent="0.2">
      <c r="A135" s="510" t="s">
        <v>42</v>
      </c>
      <c r="B135" s="511"/>
      <c r="C135" s="512"/>
      <c r="D135" s="513" t="s">
        <v>1285</v>
      </c>
      <c r="E135" s="725">
        <f>SUM(E136:E143)</f>
        <v>0</v>
      </c>
      <c r="F135" s="483"/>
      <c r="G135" s="483"/>
      <c r="H135" s="483">
        <v>0</v>
      </c>
      <c r="I135" s="483"/>
      <c r="J135" s="725">
        <f>SUM(J136:J143)</f>
        <v>1976</v>
      </c>
      <c r="K135" s="725">
        <f>SUM(K136:K143)</f>
        <v>1976</v>
      </c>
      <c r="L135" s="912"/>
    </row>
    <row r="136" spans="1:17" ht="15.75" hidden="1" x14ac:dyDescent="0.25">
      <c r="A136" s="502"/>
      <c r="B136" s="503" t="s">
        <v>752</v>
      </c>
      <c r="C136" s="504"/>
      <c r="D136" s="506" t="s">
        <v>1286</v>
      </c>
      <c r="E136" s="498"/>
      <c r="F136" s="505"/>
      <c r="G136" s="498"/>
      <c r="H136" s="498"/>
      <c r="I136" s="728"/>
      <c r="J136" s="726">
        <v>191</v>
      </c>
      <c r="K136" s="498">
        <v>191</v>
      </c>
      <c r="L136" s="498">
        <f t="shared" ref="L136:L143" si="14">K136/J136*100</f>
        <v>100</v>
      </c>
    </row>
    <row r="137" spans="1:17" ht="15.75" hidden="1" x14ac:dyDescent="0.25">
      <c r="A137" s="502"/>
      <c r="B137" s="503" t="s">
        <v>753</v>
      </c>
      <c r="C137" s="504"/>
      <c r="D137" s="506" t="s">
        <v>1287</v>
      </c>
      <c r="E137" s="498"/>
      <c r="F137" s="505"/>
      <c r="G137" s="498"/>
      <c r="H137" s="498"/>
      <c r="I137" s="728"/>
      <c r="J137" s="726">
        <v>594</v>
      </c>
      <c r="K137" s="498">
        <v>594</v>
      </c>
      <c r="L137" s="498">
        <f t="shared" si="14"/>
        <v>100</v>
      </c>
      <c r="M137" s="1569"/>
      <c r="N137" s="1570"/>
      <c r="O137" s="1570"/>
      <c r="P137" s="1570"/>
      <c r="Q137" s="1570"/>
    </row>
    <row r="138" spans="1:17" ht="15.75" hidden="1" x14ac:dyDescent="0.25">
      <c r="A138" s="502"/>
      <c r="B138" s="503" t="s">
        <v>1212</v>
      </c>
      <c r="C138" s="504"/>
      <c r="D138" s="506" t="s">
        <v>1289</v>
      </c>
      <c r="E138" s="498"/>
      <c r="F138" s="505"/>
      <c r="G138" s="498"/>
      <c r="H138" s="498"/>
      <c r="I138" s="728"/>
      <c r="J138" s="726">
        <v>57</v>
      </c>
      <c r="K138" s="498">
        <v>57</v>
      </c>
      <c r="L138" s="498">
        <f t="shared" si="14"/>
        <v>100</v>
      </c>
    </row>
    <row r="139" spans="1:17" ht="15.75" hidden="1" x14ac:dyDescent="0.25">
      <c r="A139" s="502"/>
      <c r="B139" s="503" t="s">
        <v>1288</v>
      </c>
      <c r="C139" s="504"/>
      <c r="D139" s="506" t="s">
        <v>1290</v>
      </c>
      <c r="E139" s="498"/>
      <c r="F139" s="505"/>
      <c r="G139" s="498"/>
      <c r="H139" s="498"/>
      <c r="I139" s="728"/>
      <c r="J139" s="726">
        <v>140</v>
      </c>
      <c r="K139" s="498">
        <v>140</v>
      </c>
      <c r="L139" s="498">
        <f t="shared" si="14"/>
        <v>100</v>
      </c>
      <c r="M139" s="1569"/>
      <c r="N139" s="1570"/>
      <c r="O139" s="1570"/>
      <c r="P139" s="1570"/>
      <c r="Q139" s="1570"/>
    </row>
    <row r="140" spans="1:17" ht="15.75" hidden="1" x14ac:dyDescent="0.25">
      <c r="A140" s="502"/>
      <c r="B140" s="503" t="s">
        <v>1292</v>
      </c>
      <c r="C140" s="504"/>
      <c r="D140" s="506" t="s">
        <v>1291</v>
      </c>
      <c r="E140" s="498"/>
      <c r="F140" s="505"/>
      <c r="G140" s="498"/>
      <c r="H140" s="498"/>
      <c r="I140" s="728"/>
      <c r="J140" s="726">
        <v>406</v>
      </c>
      <c r="K140" s="498">
        <v>406</v>
      </c>
      <c r="L140" s="498">
        <f t="shared" si="14"/>
        <v>100</v>
      </c>
    </row>
    <row r="141" spans="1:17" ht="15.75" hidden="1" x14ac:dyDescent="0.25">
      <c r="A141" s="502"/>
      <c r="B141" s="503" t="s">
        <v>1293</v>
      </c>
      <c r="C141" s="504"/>
      <c r="D141" s="506" t="s">
        <v>1294</v>
      </c>
      <c r="E141" s="498"/>
      <c r="F141" s="505"/>
      <c r="G141" s="498"/>
      <c r="H141" s="498"/>
      <c r="I141" s="728"/>
      <c r="J141" s="726">
        <v>108</v>
      </c>
      <c r="K141" s="498">
        <v>108</v>
      </c>
      <c r="L141" s="498">
        <f t="shared" ref="L141:L142" si="15">K141/J141*100</f>
        <v>100</v>
      </c>
      <c r="M141" s="1569"/>
      <c r="N141" s="1570"/>
      <c r="O141" s="1570"/>
      <c r="P141" s="1570"/>
      <c r="Q141" s="1570"/>
    </row>
    <row r="142" spans="1:17" ht="15.75" hidden="1" x14ac:dyDescent="0.25">
      <c r="A142" s="502"/>
      <c r="B142" s="503" t="s">
        <v>1341</v>
      </c>
      <c r="C142" s="504"/>
      <c r="D142" s="506" t="s">
        <v>1340</v>
      </c>
      <c r="E142" s="498"/>
      <c r="F142" s="505"/>
      <c r="G142" s="498"/>
      <c r="H142" s="498"/>
      <c r="I142" s="728"/>
      <c r="J142" s="726">
        <v>330</v>
      </c>
      <c r="K142" s="498">
        <v>330</v>
      </c>
      <c r="L142" s="498">
        <f t="shared" si="15"/>
        <v>100</v>
      </c>
      <c r="M142" s="1569"/>
      <c r="N142" s="1570"/>
      <c r="O142" s="1570"/>
      <c r="P142" s="1570"/>
      <c r="Q142" s="1570"/>
    </row>
    <row r="143" spans="1:17" ht="15.75" hidden="1" x14ac:dyDescent="0.25">
      <c r="A143" s="502"/>
      <c r="B143" s="503" t="s">
        <v>1342</v>
      </c>
      <c r="C143" s="504"/>
      <c r="D143" s="506" t="s">
        <v>1343</v>
      </c>
      <c r="E143" s="498"/>
      <c r="F143" s="505"/>
      <c r="G143" s="498"/>
      <c r="H143" s="498"/>
      <c r="I143" s="728"/>
      <c r="J143" s="726">
        <v>150</v>
      </c>
      <c r="K143" s="498">
        <v>150</v>
      </c>
      <c r="L143" s="498">
        <f t="shared" si="14"/>
        <v>100</v>
      </c>
      <c r="M143" s="1569"/>
      <c r="N143" s="1570"/>
      <c r="O143" s="1570"/>
      <c r="P143" s="1570"/>
      <c r="Q143" s="1570"/>
    </row>
    <row r="144" spans="1:17" ht="16.5" hidden="1" x14ac:dyDescent="0.2">
      <c r="A144" s="510" t="s">
        <v>45</v>
      </c>
      <c r="B144" s="511"/>
      <c r="C144" s="512"/>
      <c r="D144" s="513" t="s">
        <v>565</v>
      </c>
      <c r="E144" s="483">
        <v>0</v>
      </c>
      <c r="F144" s="483"/>
      <c r="G144" s="483"/>
      <c r="H144" s="483">
        <v>0</v>
      </c>
      <c r="I144" s="483"/>
      <c r="J144" s="725">
        <f>SUM(J145)</f>
        <v>244</v>
      </c>
      <c r="K144" s="485">
        <f>SUM(K145)</f>
        <v>244</v>
      </c>
      <c r="L144" s="509"/>
    </row>
    <row r="145" spans="1:17" ht="15.75" hidden="1" x14ac:dyDescent="0.25">
      <c r="A145" s="502"/>
      <c r="B145" s="503" t="s">
        <v>754</v>
      </c>
      <c r="C145" s="504"/>
      <c r="D145" s="506" t="s">
        <v>1344</v>
      </c>
      <c r="E145" s="498"/>
      <c r="F145" s="505"/>
      <c r="G145" s="498"/>
      <c r="H145" s="498"/>
      <c r="I145" s="728"/>
      <c r="J145" s="726">
        <v>244</v>
      </c>
      <c r="K145" s="498">
        <v>244</v>
      </c>
      <c r="L145" s="498"/>
    </row>
    <row r="146" spans="1:17" ht="16.5" hidden="1" x14ac:dyDescent="0.2">
      <c r="A146" s="510" t="s">
        <v>46</v>
      </c>
      <c r="B146" s="511"/>
      <c r="C146" s="512"/>
      <c r="D146" s="513" t="s">
        <v>570</v>
      </c>
      <c r="E146" s="483">
        <v>0</v>
      </c>
      <c r="F146" s="483"/>
      <c r="G146" s="483"/>
      <c r="H146" s="483">
        <v>0</v>
      </c>
      <c r="I146" s="483"/>
      <c r="J146" s="725">
        <f>SUM(J147:J148)</f>
        <v>0</v>
      </c>
      <c r="K146" s="485">
        <f>SUM(K147:K148)</f>
        <v>0</v>
      </c>
      <c r="L146" s="509"/>
    </row>
    <row r="147" spans="1:17" ht="15.75" hidden="1" x14ac:dyDescent="0.25">
      <c r="A147" s="502"/>
      <c r="B147" s="503" t="s">
        <v>755</v>
      </c>
      <c r="C147" s="504"/>
      <c r="D147" s="506"/>
      <c r="E147" s="498"/>
      <c r="F147" s="505"/>
      <c r="G147" s="498"/>
      <c r="H147" s="498"/>
      <c r="I147" s="728"/>
      <c r="J147" s="726"/>
      <c r="K147" s="498"/>
      <c r="L147" s="498"/>
    </row>
    <row r="148" spans="1:17" ht="15.75" hidden="1" x14ac:dyDescent="0.25">
      <c r="A148" s="502"/>
      <c r="B148" s="503" t="s">
        <v>990</v>
      </c>
      <c r="C148" s="504"/>
      <c r="D148" s="506"/>
      <c r="E148" s="498"/>
      <c r="F148" s="505"/>
      <c r="G148" s="498"/>
      <c r="H148" s="498"/>
      <c r="I148" s="728"/>
      <c r="J148" s="726"/>
      <c r="K148" s="498"/>
      <c r="L148" s="498" t="e">
        <f>K148/J148*100</f>
        <v>#DIV/0!</v>
      </c>
    </row>
    <row r="149" spans="1:17" ht="16.5" hidden="1" x14ac:dyDescent="0.2">
      <c r="A149" s="510" t="s">
        <v>47</v>
      </c>
      <c r="B149" s="511"/>
      <c r="C149" s="512"/>
      <c r="D149" s="513" t="s">
        <v>988</v>
      </c>
      <c r="E149" s="483">
        <v>0</v>
      </c>
      <c r="F149" s="483"/>
      <c r="G149" s="483"/>
      <c r="H149" s="483">
        <v>0</v>
      </c>
      <c r="I149" s="483"/>
      <c r="J149" s="725">
        <f>SUM(J150)</f>
        <v>0</v>
      </c>
      <c r="K149" s="485">
        <f>SUM(K150)</f>
        <v>0</v>
      </c>
      <c r="L149" s="509"/>
    </row>
    <row r="150" spans="1:17" ht="15.75" hidden="1" x14ac:dyDescent="0.25">
      <c r="A150" s="502"/>
      <c r="B150" s="503" t="s">
        <v>989</v>
      </c>
      <c r="C150" s="504"/>
      <c r="D150" s="506"/>
      <c r="E150" s="498"/>
      <c r="F150" s="505"/>
      <c r="G150" s="498"/>
      <c r="H150" s="498"/>
      <c r="I150" s="728"/>
      <c r="J150" s="726"/>
      <c r="K150" s="498">
        <v>0</v>
      </c>
      <c r="L150" s="498"/>
    </row>
    <row r="151" spans="1:17" ht="16.5" hidden="1" x14ac:dyDescent="0.2">
      <c r="A151" s="510" t="s">
        <v>91</v>
      </c>
      <c r="B151" s="511"/>
      <c r="C151" s="512"/>
      <c r="D151" s="483" t="s">
        <v>623</v>
      </c>
      <c r="E151" s="485">
        <f>SUM(E152:E159)</f>
        <v>0</v>
      </c>
      <c r="F151" s="485"/>
      <c r="G151" s="485">
        <f>G152+G158+G162+G164+G169+G171</f>
        <v>0</v>
      </c>
      <c r="H151" s="485">
        <f>H152+H158+H162+H164+H169+H171</f>
        <v>0</v>
      </c>
      <c r="I151" s="485"/>
      <c r="J151" s="485">
        <f>SUM(J152:J174)</f>
        <v>3694</v>
      </c>
      <c r="K151" s="485">
        <f>SUM(K152:K174)-9</f>
        <v>7714</v>
      </c>
      <c r="L151" s="498">
        <f>K151/J151*100</f>
        <v>208.82512181916621</v>
      </c>
    </row>
    <row r="152" spans="1:17" ht="15.75" hidden="1" x14ac:dyDescent="0.25">
      <c r="A152" s="502"/>
      <c r="B152" s="503" t="s">
        <v>1297</v>
      </c>
      <c r="C152" s="504"/>
      <c r="D152" s="506" t="s">
        <v>1298</v>
      </c>
      <c r="E152" s="498"/>
      <c r="F152" s="505"/>
      <c r="G152" s="498"/>
      <c r="H152" s="498"/>
      <c r="I152" s="728"/>
      <c r="J152" s="726">
        <v>151</v>
      </c>
      <c r="K152" s="498">
        <v>151</v>
      </c>
      <c r="L152" s="498">
        <f>K152/J152*100</f>
        <v>100</v>
      </c>
      <c r="M152" s="1569"/>
      <c r="N152" s="1570"/>
      <c r="O152" s="1570"/>
      <c r="P152" s="1570"/>
      <c r="Q152" s="1570"/>
    </row>
    <row r="153" spans="1:17" ht="15.75" hidden="1" x14ac:dyDescent="0.25">
      <c r="A153" s="502"/>
      <c r="B153" s="503" t="s">
        <v>1299</v>
      </c>
      <c r="C153" s="504"/>
      <c r="D153" s="506" t="s">
        <v>1303</v>
      </c>
      <c r="E153" s="498"/>
      <c r="F153" s="505"/>
      <c r="G153" s="498"/>
      <c r="H153" s="498"/>
      <c r="I153" s="728"/>
      <c r="J153" s="726"/>
      <c r="K153" s="498"/>
      <c r="L153" s="498" t="e">
        <f t="shared" ref="L153:L159" si="16">K153/J153*100</f>
        <v>#DIV/0!</v>
      </c>
      <c r="M153" s="1569"/>
      <c r="N153" s="1570"/>
      <c r="O153" s="1570"/>
      <c r="P153" s="1570"/>
      <c r="Q153" s="1570"/>
    </row>
    <row r="154" spans="1:17" ht="15.75" hidden="1" x14ac:dyDescent="0.25">
      <c r="A154" s="502"/>
      <c r="B154" s="503" t="s">
        <v>1300</v>
      </c>
      <c r="C154" s="504"/>
      <c r="D154" s="506" t="s">
        <v>1304</v>
      </c>
      <c r="E154" s="498"/>
      <c r="F154" s="505"/>
      <c r="G154" s="498"/>
      <c r="H154" s="498"/>
      <c r="I154" s="728"/>
      <c r="J154" s="726">
        <v>1190</v>
      </c>
      <c r="K154" s="498">
        <v>1190</v>
      </c>
      <c r="L154" s="498">
        <f t="shared" si="16"/>
        <v>100</v>
      </c>
      <c r="M154" s="1569"/>
      <c r="N154" s="1570"/>
      <c r="O154" s="1570"/>
      <c r="P154" s="1570"/>
      <c r="Q154" s="1570"/>
    </row>
    <row r="155" spans="1:17" ht="15.75" hidden="1" x14ac:dyDescent="0.25">
      <c r="A155" s="502"/>
      <c r="B155" s="503" t="s">
        <v>1301</v>
      </c>
      <c r="C155" s="504"/>
      <c r="D155" s="506" t="s">
        <v>1305</v>
      </c>
      <c r="E155" s="498"/>
      <c r="F155" s="505"/>
      <c r="G155" s="498"/>
      <c r="H155" s="498"/>
      <c r="I155" s="728"/>
      <c r="J155" s="726">
        <v>984</v>
      </c>
      <c r="K155" s="498">
        <v>984</v>
      </c>
      <c r="L155" s="498">
        <f t="shared" si="16"/>
        <v>100</v>
      </c>
      <c r="M155" s="1569"/>
      <c r="N155" s="1570"/>
      <c r="O155" s="1570"/>
      <c r="P155" s="1570"/>
      <c r="Q155" s="1570"/>
    </row>
    <row r="156" spans="1:17" ht="15.75" hidden="1" x14ac:dyDescent="0.25">
      <c r="A156" s="502"/>
      <c r="B156" s="503" t="s">
        <v>1302</v>
      </c>
      <c r="C156" s="504"/>
      <c r="D156" s="506" t="s">
        <v>1306</v>
      </c>
      <c r="E156" s="498"/>
      <c r="F156" s="505"/>
      <c r="G156" s="498"/>
      <c r="H156" s="498"/>
      <c r="I156" s="728"/>
      <c r="J156" s="505">
        <v>428</v>
      </c>
      <c r="K156" s="505">
        <v>312</v>
      </c>
      <c r="L156" s="498">
        <f t="shared" si="16"/>
        <v>72.89719626168224</v>
      </c>
      <c r="M156" s="1569"/>
      <c r="N156" s="1570"/>
      <c r="O156" s="1570"/>
      <c r="P156" s="1570"/>
      <c r="Q156" s="1570"/>
    </row>
    <row r="157" spans="1:17" ht="16.5" hidden="1" x14ac:dyDescent="0.25">
      <c r="A157" s="731"/>
      <c r="B157" s="503" t="s">
        <v>1307</v>
      </c>
      <c r="C157" s="732"/>
      <c r="D157" s="730" t="s">
        <v>1311</v>
      </c>
      <c r="E157" s="498"/>
      <c r="F157" s="740"/>
      <c r="G157" s="505"/>
      <c r="H157" s="505"/>
      <c r="I157" s="741"/>
      <c r="J157" s="505">
        <v>536</v>
      </c>
      <c r="K157" s="505">
        <v>536</v>
      </c>
      <c r="L157" s="498">
        <f t="shared" si="16"/>
        <v>100</v>
      </c>
    </row>
    <row r="158" spans="1:17" ht="16.5" hidden="1" x14ac:dyDescent="0.25">
      <c r="A158" s="731"/>
      <c r="B158" s="503" t="s">
        <v>1308</v>
      </c>
      <c r="C158" s="732"/>
      <c r="D158" s="730" t="s">
        <v>1312</v>
      </c>
      <c r="E158" s="498"/>
      <c r="F158" s="740"/>
      <c r="G158" s="505"/>
      <c r="H158" s="505"/>
      <c r="I158" s="741"/>
      <c r="J158" s="505">
        <v>69</v>
      </c>
      <c r="K158" s="505">
        <v>1227</v>
      </c>
      <c r="L158" s="498">
        <f t="shared" si="16"/>
        <v>1778.2608695652175</v>
      </c>
    </row>
    <row r="159" spans="1:17" s="703" customFormat="1" ht="17.25" hidden="1" x14ac:dyDescent="0.25">
      <c r="A159" s="734"/>
      <c r="B159" s="503" t="s">
        <v>1309</v>
      </c>
      <c r="C159" s="736"/>
      <c r="D159" s="730" t="s">
        <v>1412</v>
      </c>
      <c r="E159" s="498"/>
      <c r="F159" s="740"/>
      <c r="G159" s="505"/>
      <c r="H159" s="505"/>
      <c r="I159" s="741"/>
      <c r="J159" s="505">
        <v>336</v>
      </c>
      <c r="K159" s="505">
        <v>665</v>
      </c>
      <c r="L159" s="498">
        <f t="shared" si="16"/>
        <v>197.91666666666669</v>
      </c>
    </row>
    <row r="160" spans="1:17" ht="16.5" hidden="1" x14ac:dyDescent="0.25">
      <c r="A160" s="731"/>
      <c r="B160" s="503" t="s">
        <v>1310</v>
      </c>
      <c r="C160" s="732"/>
      <c r="D160" s="730"/>
      <c r="E160" s="505"/>
      <c r="F160" s="740"/>
      <c r="G160" s="505"/>
      <c r="H160" s="505"/>
      <c r="I160" s="741"/>
      <c r="J160" s="505"/>
      <c r="K160" s="505"/>
      <c r="L160" s="498"/>
    </row>
    <row r="161" spans="1:12" ht="16.5" hidden="1" x14ac:dyDescent="0.25">
      <c r="A161" s="731"/>
      <c r="B161" s="781"/>
      <c r="C161" s="732"/>
      <c r="D161" s="730"/>
      <c r="E161" s="505"/>
      <c r="F161" s="740"/>
      <c r="G161" s="505"/>
      <c r="H161" s="505"/>
      <c r="I161" s="741"/>
      <c r="J161" s="737"/>
      <c r="K161" s="737"/>
      <c r="L161" s="498"/>
    </row>
    <row r="162" spans="1:12" s="703" customFormat="1" ht="17.25" hidden="1" x14ac:dyDescent="0.25">
      <c r="A162" s="734"/>
      <c r="B162" s="735"/>
      <c r="C162" s="736"/>
      <c r="D162" s="729"/>
      <c r="E162" s="737"/>
      <c r="F162" s="740"/>
      <c r="G162" s="737"/>
      <c r="H162" s="737"/>
      <c r="I162" s="741"/>
      <c r="J162" s="505"/>
      <c r="K162" s="505"/>
      <c r="L162" s="498"/>
    </row>
    <row r="163" spans="1:12" ht="16.5" hidden="1" x14ac:dyDescent="0.25">
      <c r="A163" s="731"/>
      <c r="B163" s="781"/>
      <c r="C163" s="732"/>
      <c r="D163" s="730"/>
      <c r="E163" s="505"/>
      <c r="F163" s="740"/>
      <c r="G163" s="505"/>
      <c r="H163" s="505"/>
      <c r="I163" s="741"/>
      <c r="J163" s="737"/>
      <c r="K163" s="737"/>
      <c r="L163" s="498"/>
    </row>
    <row r="164" spans="1:12" s="703" customFormat="1" ht="17.25" hidden="1" x14ac:dyDescent="0.25">
      <c r="A164" s="734"/>
      <c r="B164" s="735"/>
      <c r="C164" s="736"/>
      <c r="D164" s="729"/>
      <c r="E164" s="737"/>
      <c r="F164" s="740"/>
      <c r="G164" s="737"/>
      <c r="H164" s="737"/>
      <c r="I164" s="741"/>
      <c r="J164" s="505"/>
      <c r="K164" s="505"/>
      <c r="L164" s="498"/>
    </row>
    <row r="165" spans="1:12" ht="16.5" hidden="1" x14ac:dyDescent="0.25">
      <c r="A165" s="731"/>
      <c r="B165" s="781"/>
      <c r="C165" s="733"/>
      <c r="D165" s="730"/>
      <c r="E165" s="505"/>
      <c r="F165" s="740"/>
      <c r="G165" s="505"/>
      <c r="H165" s="505"/>
      <c r="I165" s="741"/>
      <c r="J165" s="505"/>
      <c r="K165" s="505"/>
      <c r="L165" s="498"/>
    </row>
    <row r="166" spans="1:12" ht="16.5" hidden="1" x14ac:dyDescent="0.25">
      <c r="A166" s="731"/>
      <c r="B166" s="781"/>
      <c r="C166" s="733"/>
      <c r="D166" s="730"/>
      <c r="E166" s="505"/>
      <c r="F166" s="740"/>
      <c r="G166" s="505"/>
      <c r="H166" s="505"/>
      <c r="I166" s="741"/>
      <c r="J166" s="505"/>
      <c r="K166" s="505"/>
      <c r="L166" s="498"/>
    </row>
    <row r="167" spans="1:12" ht="16.5" hidden="1" x14ac:dyDescent="0.25">
      <c r="A167" s="731"/>
      <c r="B167" s="781"/>
      <c r="C167" s="733"/>
      <c r="D167" s="730"/>
      <c r="E167" s="505"/>
      <c r="F167" s="740"/>
      <c r="G167" s="505"/>
      <c r="H167" s="505"/>
      <c r="I167" s="741"/>
      <c r="J167" s="498"/>
      <c r="K167" s="498"/>
      <c r="L167" s="498"/>
    </row>
    <row r="168" spans="1:12" ht="16.5" hidden="1" x14ac:dyDescent="0.25">
      <c r="A168" s="731"/>
      <c r="B168" s="781"/>
      <c r="C168" s="733"/>
      <c r="D168" s="730"/>
      <c r="E168" s="498"/>
      <c r="F168" s="740"/>
      <c r="G168" s="498"/>
      <c r="H168" s="498"/>
      <c r="I168" s="741"/>
      <c r="J168" s="739"/>
      <c r="K168" s="739"/>
      <c r="L168" s="498"/>
    </row>
    <row r="169" spans="1:12" s="703" customFormat="1" ht="17.25" hidden="1" x14ac:dyDescent="0.25">
      <c r="A169" s="734"/>
      <c r="B169" s="735"/>
      <c r="C169" s="738"/>
      <c r="D169" s="729"/>
      <c r="E169" s="739"/>
      <c r="F169" s="740"/>
      <c r="G169" s="739"/>
      <c r="H169" s="739"/>
      <c r="I169" s="741"/>
      <c r="J169" s="498"/>
      <c r="K169" s="498"/>
      <c r="L169" s="498"/>
    </row>
    <row r="170" spans="1:12" ht="16.5" hidden="1" x14ac:dyDescent="0.25">
      <c r="A170" s="731"/>
      <c r="B170" s="781"/>
      <c r="C170" s="733"/>
      <c r="D170" s="730"/>
      <c r="E170" s="498"/>
      <c r="F170" s="740"/>
      <c r="G170" s="498"/>
      <c r="H170" s="498"/>
      <c r="I170" s="741"/>
      <c r="J170" s="739"/>
      <c r="K170" s="739"/>
      <c r="L170" s="498"/>
    </row>
    <row r="171" spans="1:12" s="703" customFormat="1" ht="17.25" hidden="1" x14ac:dyDescent="0.25">
      <c r="A171" s="734"/>
      <c r="B171" s="735"/>
      <c r="C171" s="738"/>
      <c r="D171" s="729"/>
      <c r="E171" s="739"/>
      <c r="F171" s="740"/>
      <c r="G171" s="739"/>
      <c r="H171" s="739"/>
      <c r="I171" s="741"/>
      <c r="J171" s="498"/>
      <c r="K171" s="498"/>
      <c r="L171" s="498"/>
    </row>
    <row r="172" spans="1:12" ht="16.5" hidden="1" x14ac:dyDescent="0.25">
      <c r="A172" s="731"/>
      <c r="B172" s="781"/>
      <c r="C172" s="733"/>
      <c r="D172" s="730"/>
      <c r="E172" s="498"/>
      <c r="F172" s="740"/>
      <c r="G172" s="498"/>
      <c r="H172" s="498"/>
      <c r="I172" s="741"/>
      <c r="J172" s="978"/>
      <c r="K172" s="981"/>
      <c r="L172" s="498"/>
    </row>
    <row r="173" spans="1:12" ht="16.5" hidden="1" x14ac:dyDescent="0.25">
      <c r="A173" s="975"/>
      <c r="B173" s="976" t="s">
        <v>1409</v>
      </c>
      <c r="C173" s="977"/>
      <c r="D173" s="982"/>
      <c r="E173" s="978"/>
      <c r="F173" s="979"/>
      <c r="G173" s="978"/>
      <c r="H173" s="978"/>
      <c r="I173" s="980"/>
      <c r="J173" s="978"/>
      <c r="K173" s="981">
        <v>417</v>
      </c>
      <c r="L173" s="981"/>
    </row>
    <row r="174" spans="1:12" ht="16.5" hidden="1" x14ac:dyDescent="0.25">
      <c r="A174" s="975"/>
      <c r="B174" s="976" t="s">
        <v>1410</v>
      </c>
      <c r="C174" s="977"/>
      <c r="D174" s="983"/>
      <c r="E174" s="978"/>
      <c r="F174" s="979"/>
      <c r="G174" s="978"/>
      <c r="H174" s="978"/>
      <c r="I174" s="980"/>
      <c r="J174" s="978"/>
      <c r="K174" s="981">
        <v>2241</v>
      </c>
      <c r="L174" s="981"/>
    </row>
    <row r="175" spans="1:12" s="494" customFormat="1" ht="19.5" thickBot="1" x14ac:dyDescent="0.25">
      <c r="A175" s="515"/>
      <c r="B175" s="516"/>
      <c r="C175" s="516"/>
      <c r="D175" s="517" t="s">
        <v>1328</v>
      </c>
      <c r="E175" s="1047">
        <f>E3+E104</f>
        <v>0</v>
      </c>
      <c r="F175" s="727"/>
      <c r="G175" s="727"/>
      <c r="H175" s="1047">
        <f>H3+H104</f>
        <v>130500</v>
      </c>
      <c r="I175" s="727"/>
      <c r="J175" s="727">
        <f>J3+J104</f>
        <v>622567</v>
      </c>
      <c r="K175" s="514">
        <f>K3+K104</f>
        <v>409342</v>
      </c>
      <c r="L175" s="514">
        <f>K175/J175*100</f>
        <v>65.750674224621605</v>
      </c>
    </row>
    <row r="180" spans="6:9" ht="18.75" x14ac:dyDescent="0.2">
      <c r="F180" s="959">
        <v>664141</v>
      </c>
      <c r="H180" s="959">
        <v>417988</v>
      </c>
      <c r="I180" s="11">
        <f t="shared" ref="I180:I182" si="17">SUM(H180/F180)*100</f>
        <v>62.936635443377234</v>
      </c>
    </row>
    <row r="181" spans="6:9" ht="18.75" x14ac:dyDescent="0.2">
      <c r="F181" s="959">
        <v>17440</v>
      </c>
      <c r="G181" s="959"/>
      <c r="H181" s="959">
        <v>4919</v>
      </c>
      <c r="I181" s="11">
        <f t="shared" si="17"/>
        <v>28.205275229357795</v>
      </c>
    </row>
    <row r="182" spans="6:9" ht="18.75" x14ac:dyDescent="0.2">
      <c r="F182" s="959">
        <v>637165</v>
      </c>
      <c r="G182" s="959"/>
      <c r="H182" s="959">
        <v>401741</v>
      </c>
      <c r="I182" s="11">
        <f t="shared" si="17"/>
        <v>63.051328933635716</v>
      </c>
    </row>
    <row r="183" spans="6:9" ht="18.75" x14ac:dyDescent="0.2">
      <c r="F183" s="962">
        <f>SUM(F180-F181-F182)</f>
        <v>9536</v>
      </c>
      <c r="G183" s="962"/>
      <c r="H183" s="962">
        <f t="shared" ref="H183" si="18">SUM(H180-H181-H182)</f>
        <v>11328</v>
      </c>
      <c r="I183" s="11">
        <f>SUM(H183/F183)*100</f>
        <v>118.79194630872483</v>
      </c>
    </row>
    <row r="184" spans="6:9" ht="18.75" x14ac:dyDescent="0.2">
      <c r="F184" s="959"/>
      <c r="G184" s="959"/>
      <c r="H184" s="959"/>
    </row>
    <row r="185" spans="6:9" ht="18.75" x14ac:dyDescent="0.2">
      <c r="F185" s="959"/>
      <c r="G185" s="959"/>
      <c r="H185" s="959"/>
    </row>
  </sheetData>
  <sheetProtection selectLockedCells="1" selectUnlockedCells="1"/>
  <mergeCells count="30">
    <mergeCell ref="A104:D104"/>
    <mergeCell ref="M137:Q137"/>
    <mergeCell ref="A1:C1"/>
    <mergeCell ref="A3:D3"/>
    <mergeCell ref="M63:P63"/>
    <mergeCell ref="M88:S88"/>
    <mergeCell ref="M103:S103"/>
    <mergeCell ref="M89:S89"/>
    <mergeCell ref="M90:S90"/>
    <mergeCell ref="M91:S91"/>
    <mergeCell ref="M93:S93"/>
    <mergeCell ref="M92:S92"/>
    <mergeCell ref="M94:S94"/>
    <mergeCell ref="M95:S95"/>
    <mergeCell ref="M98:S98"/>
    <mergeCell ref="M99:S99"/>
    <mergeCell ref="M155:Q155"/>
    <mergeCell ref="M156:Q156"/>
    <mergeCell ref="M96:S96"/>
    <mergeCell ref="M97:S97"/>
    <mergeCell ref="M152:Q152"/>
    <mergeCell ref="M153:Q153"/>
    <mergeCell ref="M154:Q154"/>
    <mergeCell ref="M143:Q143"/>
    <mergeCell ref="M139:Q139"/>
    <mergeCell ref="M141:Q141"/>
    <mergeCell ref="M142:Q142"/>
    <mergeCell ref="M102:S102"/>
    <mergeCell ref="M100:S100"/>
    <mergeCell ref="M101:S101"/>
  </mergeCells>
  <printOptions horizontalCentered="1"/>
  <pageMargins left="0.27559055118110237" right="0.31496062992125984" top="0.74803149606299213" bottom="0.47244094488188981" header="0.35433070866141736" footer="0.23622047244094491"/>
  <pageSetup paperSize="9" firstPageNumber="93" orientation="landscape" r:id="rId1"/>
  <headerFooter alignWithMargins="0">
    <oddHeader xml:space="preserve">&amp;C&amp;"Times New Roman CE,Félkövér"&amp;14Vecsés Város  beruházási kiadásainak előirányzata beruházásonként&amp;R&amp;"Times New Roman CE,Félkövér"&amp;12 &amp;"Arial,Normál" 6.2. sz. melléklet
Ezer Ft         
&amp;"Times New Roman CE,Általános"&amp;10   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view="pageBreakPreview" topLeftCell="A92" zoomScale="120" zoomScaleNormal="110" zoomScaleSheetLayoutView="120" workbookViewId="0">
      <selection activeCell="M91" sqref="M91"/>
    </sheetView>
  </sheetViews>
  <sheetFormatPr defaultRowHeight="12.75" x14ac:dyDescent="0.2"/>
  <cols>
    <col min="1" max="1" width="3.33203125" style="168" customWidth="1"/>
    <col min="2" max="2" width="4" style="168" customWidth="1"/>
    <col min="3" max="3" width="8" style="168" customWidth="1"/>
    <col min="4" max="4" width="60.5" style="168" customWidth="1"/>
    <col min="5" max="8" width="9.33203125" style="168" hidden="1" customWidth="1"/>
    <col min="9" max="9" width="14.33203125" style="168" hidden="1" customWidth="1"/>
    <col min="10" max="10" width="14.33203125" style="168" customWidth="1"/>
    <col min="11" max="16384" width="9.33203125" style="168"/>
  </cols>
  <sheetData>
    <row r="1" spans="1:10" ht="48" customHeight="1" x14ac:dyDescent="0.2">
      <c r="A1" s="1577" t="s">
        <v>150</v>
      </c>
      <c r="B1" s="1577"/>
      <c r="C1" s="1577"/>
      <c r="D1" s="224" t="s">
        <v>122</v>
      </c>
      <c r="E1" s="224" t="s">
        <v>756</v>
      </c>
      <c r="F1" s="224" t="s">
        <v>757</v>
      </c>
      <c r="G1" s="224" t="s">
        <v>758</v>
      </c>
      <c r="H1" s="224" t="s">
        <v>628</v>
      </c>
      <c r="I1" s="413" t="s">
        <v>1023</v>
      </c>
      <c r="J1" s="413" t="s">
        <v>1418</v>
      </c>
    </row>
    <row r="2" spans="1:10" ht="17.25" customHeight="1" x14ac:dyDescent="0.2">
      <c r="A2" s="518" t="s">
        <v>2</v>
      </c>
      <c r="B2" s="519"/>
      <c r="C2" s="520"/>
      <c r="D2" s="521" t="s">
        <v>759</v>
      </c>
      <c r="E2" s="522" t="e">
        <f>SUM(E3+#REF!+#REF!+#REF!)</f>
        <v>#REF!</v>
      </c>
      <c r="F2" s="522" t="e">
        <f>SUM(F3+#REF!+#REF!+#REF!)</f>
        <v>#REF!</v>
      </c>
      <c r="G2" s="522" t="e">
        <f>SUM(G3+#REF!+#REF!+#REF!)</f>
        <v>#REF!</v>
      </c>
      <c r="H2" s="522" t="e">
        <f>SUM(H3+#REF!+#REF!+#REF!)</f>
        <v>#REF!</v>
      </c>
      <c r="I2" s="522">
        <f>SUM(I3)</f>
        <v>1000</v>
      </c>
      <c r="J2" s="522">
        <f>SUM(J3)</f>
        <v>1000</v>
      </c>
    </row>
    <row r="3" spans="1:10" ht="17.25" customHeight="1" x14ac:dyDescent="0.2">
      <c r="A3" s="518"/>
      <c r="B3" s="523" t="s">
        <v>50</v>
      </c>
      <c r="C3" s="524"/>
      <c r="D3" s="525" t="s">
        <v>760</v>
      </c>
      <c r="E3" s="526">
        <v>28633</v>
      </c>
      <c r="F3" s="526">
        <v>5000</v>
      </c>
      <c r="G3" s="526" t="e">
        <f>SUM(G4+#REF!)</f>
        <v>#REF!</v>
      </c>
      <c r="H3" s="526" t="e">
        <f>SUM(H4+#REF!)</f>
        <v>#REF!</v>
      </c>
      <c r="I3" s="526">
        <f>SUM(I4)</f>
        <v>1000</v>
      </c>
      <c r="J3" s="526">
        <f>SUM(J4+J9+J10+J11+J12+J13+J14)</f>
        <v>1000</v>
      </c>
    </row>
    <row r="4" spans="1:10" s="189" customFormat="1" ht="15" x14ac:dyDescent="0.2">
      <c r="A4" s="527"/>
      <c r="B4" s="528"/>
      <c r="C4" s="529" t="s">
        <v>635</v>
      </c>
      <c r="D4" s="530" t="s">
        <v>761</v>
      </c>
      <c r="E4" s="531"/>
      <c r="F4" s="531">
        <f>SUM(F16:F22)</f>
        <v>2000</v>
      </c>
      <c r="G4" s="531">
        <f>SUM(G5:G8)</f>
        <v>1800</v>
      </c>
      <c r="H4" s="532">
        <f>SUM(H5:H8)</f>
        <v>2000</v>
      </c>
      <c r="I4" s="532">
        <f>SUM(I5+I8+I6)</f>
        <v>1000</v>
      </c>
      <c r="J4" s="532">
        <f>SUM(J5+J8+J6)</f>
        <v>1000</v>
      </c>
    </row>
    <row r="5" spans="1:10" s="197" customFormat="1" ht="17.25" customHeight="1" x14ac:dyDescent="0.2">
      <c r="A5" s="533"/>
      <c r="B5" s="534"/>
      <c r="C5" s="535" t="s">
        <v>153</v>
      </c>
      <c r="D5" s="536" t="s">
        <v>762</v>
      </c>
      <c r="E5" s="531"/>
      <c r="F5" s="531"/>
      <c r="G5" s="531">
        <v>800</v>
      </c>
      <c r="H5" s="532">
        <v>800</v>
      </c>
      <c r="I5" s="532"/>
      <c r="J5" s="532">
        <v>1000</v>
      </c>
    </row>
    <row r="6" spans="1:10" s="197" customFormat="1" ht="17.25" customHeight="1" x14ac:dyDescent="0.2">
      <c r="A6" s="533"/>
      <c r="B6" s="534"/>
      <c r="C6" s="535" t="s">
        <v>763</v>
      </c>
      <c r="D6" s="537" t="s">
        <v>764</v>
      </c>
      <c r="E6" s="531"/>
      <c r="F6" s="531">
        <v>150</v>
      </c>
      <c r="G6" s="531">
        <v>0</v>
      </c>
      <c r="H6" s="532">
        <v>400</v>
      </c>
      <c r="I6" s="532"/>
      <c r="J6" s="914"/>
    </row>
    <row r="7" spans="1:10" x14ac:dyDescent="0.2">
      <c r="A7" s="533"/>
      <c r="B7" s="534"/>
      <c r="C7" s="535" t="s">
        <v>765</v>
      </c>
      <c r="D7" s="536" t="s">
        <v>766</v>
      </c>
      <c r="E7" s="531"/>
      <c r="F7" s="531"/>
      <c r="G7" s="531">
        <v>500</v>
      </c>
      <c r="H7" s="532">
        <v>500</v>
      </c>
      <c r="I7" s="532"/>
      <c r="J7" s="532"/>
    </row>
    <row r="8" spans="1:10" s="197" customFormat="1" ht="18" customHeight="1" x14ac:dyDescent="0.2">
      <c r="A8" s="533"/>
      <c r="B8" s="534"/>
      <c r="C8" s="535" t="s">
        <v>767</v>
      </c>
      <c r="D8" s="536" t="s">
        <v>768</v>
      </c>
      <c r="E8" s="531"/>
      <c r="F8" s="531"/>
      <c r="G8" s="531">
        <v>500</v>
      </c>
      <c r="H8" s="532">
        <v>300</v>
      </c>
      <c r="I8" s="532">
        <v>1000</v>
      </c>
      <c r="J8" s="532"/>
    </row>
    <row r="9" spans="1:10" s="189" customFormat="1" ht="15" x14ac:dyDescent="0.2">
      <c r="A9" s="527"/>
      <c r="B9" s="528"/>
      <c r="C9" s="529" t="s">
        <v>617</v>
      </c>
      <c r="D9" s="530" t="s">
        <v>1263</v>
      </c>
      <c r="E9" s="531"/>
      <c r="F9" s="531">
        <f>SUM(F21:F27)</f>
        <v>800</v>
      </c>
      <c r="G9" s="531">
        <f>SUM(G10:G13)</f>
        <v>0</v>
      </c>
      <c r="H9" s="532">
        <f>SUM(H10:H13)</f>
        <v>0</v>
      </c>
      <c r="I9" s="532"/>
      <c r="J9" s="532"/>
    </row>
    <row r="10" spans="1:10" s="189" customFormat="1" ht="15" x14ac:dyDescent="0.2">
      <c r="A10" s="527"/>
      <c r="B10" s="528"/>
      <c r="C10" s="529" t="s">
        <v>618</v>
      </c>
      <c r="D10" s="530" t="s">
        <v>1264</v>
      </c>
      <c r="E10" s="531"/>
      <c r="F10" s="531" t="e">
        <f>SUM(F22:F28)</f>
        <v>#REF!</v>
      </c>
      <c r="G10" s="531">
        <f>SUM(G11:G15)</f>
        <v>0</v>
      </c>
      <c r="H10" s="532">
        <f>SUM(H11:H15)</f>
        <v>0</v>
      </c>
      <c r="I10" s="532"/>
      <c r="J10" s="532"/>
    </row>
    <row r="11" spans="1:10" s="189" customFormat="1" ht="15" x14ac:dyDescent="0.2">
      <c r="A11" s="527"/>
      <c r="B11" s="528"/>
      <c r="C11" s="529" t="s">
        <v>619</v>
      </c>
      <c r="D11" s="530" t="s">
        <v>1265</v>
      </c>
      <c r="E11" s="531"/>
      <c r="F11" s="531" t="e">
        <f>SUM(F23:F29)</f>
        <v>#REF!</v>
      </c>
      <c r="G11" s="531">
        <f>SUM(G12:G16)</f>
        <v>0</v>
      </c>
      <c r="H11" s="532">
        <f>SUM(H12:H16)</f>
        <v>0</v>
      </c>
      <c r="I11" s="532"/>
      <c r="J11" s="532"/>
    </row>
    <row r="12" spans="1:10" s="189" customFormat="1" ht="15" x14ac:dyDescent="0.2">
      <c r="A12" s="527"/>
      <c r="B12" s="528"/>
      <c r="C12" s="529" t="s">
        <v>177</v>
      </c>
      <c r="D12" s="530" t="s">
        <v>1266</v>
      </c>
      <c r="E12" s="531"/>
      <c r="F12" s="531"/>
      <c r="G12" s="531"/>
      <c r="H12" s="532"/>
      <c r="I12" s="532"/>
      <c r="J12" s="532"/>
    </row>
    <row r="13" spans="1:10" s="189" customFormat="1" ht="15" hidden="1" x14ac:dyDescent="0.2">
      <c r="A13" s="527"/>
      <c r="B13" s="528"/>
      <c r="C13" s="529" t="s">
        <v>769</v>
      </c>
      <c r="D13" s="530"/>
      <c r="E13" s="531"/>
      <c r="F13" s="531"/>
      <c r="G13" s="531"/>
      <c r="H13" s="532"/>
      <c r="I13" s="532"/>
      <c r="J13" s="532"/>
    </row>
    <row r="14" spans="1:10" s="189" customFormat="1" ht="15" hidden="1" x14ac:dyDescent="0.2">
      <c r="A14" s="527"/>
      <c r="B14" s="528"/>
      <c r="C14" s="529" t="s">
        <v>770</v>
      </c>
      <c r="D14" s="530"/>
      <c r="E14" s="531"/>
      <c r="F14" s="531"/>
      <c r="G14" s="531"/>
      <c r="H14" s="532"/>
      <c r="I14" s="532"/>
      <c r="J14" s="532"/>
    </row>
    <row r="15" spans="1:10" s="197" customFormat="1" ht="17.25" hidden="1" customHeight="1" x14ac:dyDescent="0.2">
      <c r="A15" s="533"/>
      <c r="B15" s="534"/>
      <c r="C15" s="535" t="s">
        <v>771</v>
      </c>
      <c r="D15" s="537" t="s">
        <v>772</v>
      </c>
      <c r="E15" s="531"/>
      <c r="F15" s="531"/>
      <c r="G15" s="531"/>
      <c r="H15" s="532"/>
      <c r="I15" s="532"/>
      <c r="J15" s="532"/>
    </row>
    <row r="16" spans="1:10" s="197" customFormat="1" ht="17.25" hidden="1" customHeight="1" x14ac:dyDescent="0.2">
      <c r="A16" s="533"/>
      <c r="B16" s="534"/>
      <c r="C16" s="538" t="s">
        <v>153</v>
      </c>
      <c r="D16" s="539" t="s">
        <v>773</v>
      </c>
      <c r="E16" s="531"/>
      <c r="F16" s="531">
        <v>400</v>
      </c>
      <c r="G16" s="531"/>
      <c r="H16" s="532"/>
      <c r="I16" s="532"/>
      <c r="J16" s="532"/>
    </row>
    <row r="17" spans="1:10" s="197" customFormat="1" ht="17.25" hidden="1" customHeight="1" x14ac:dyDescent="0.2">
      <c r="A17" s="533"/>
      <c r="B17" s="534"/>
      <c r="C17" s="538" t="s">
        <v>763</v>
      </c>
      <c r="D17" s="539" t="s">
        <v>774</v>
      </c>
      <c r="E17" s="531"/>
      <c r="F17" s="531">
        <v>200</v>
      </c>
      <c r="G17" s="531"/>
      <c r="H17" s="532"/>
      <c r="I17" s="532"/>
      <c r="J17" s="532"/>
    </row>
    <row r="18" spans="1:10" s="197" customFormat="1" ht="17.25" hidden="1" customHeight="1" x14ac:dyDescent="0.2">
      <c r="A18" s="533"/>
      <c r="B18" s="534"/>
      <c r="C18" s="538" t="s">
        <v>765</v>
      </c>
      <c r="D18" s="539" t="s">
        <v>775</v>
      </c>
      <c r="E18" s="531"/>
      <c r="F18" s="531">
        <v>100</v>
      </c>
      <c r="G18" s="531"/>
      <c r="H18" s="532"/>
      <c r="I18" s="532"/>
      <c r="J18" s="532"/>
    </row>
    <row r="19" spans="1:10" s="197" customFormat="1" ht="17.25" hidden="1" customHeight="1" x14ac:dyDescent="0.2">
      <c r="A19" s="533"/>
      <c r="B19" s="534"/>
      <c r="C19" s="538" t="s">
        <v>767</v>
      </c>
      <c r="D19" s="539" t="s">
        <v>776</v>
      </c>
      <c r="E19" s="531"/>
      <c r="F19" s="531">
        <v>300</v>
      </c>
      <c r="G19" s="531"/>
      <c r="H19" s="532"/>
      <c r="I19" s="532"/>
      <c r="J19" s="532"/>
    </row>
    <row r="20" spans="1:10" s="197" customFormat="1" ht="17.25" hidden="1" customHeight="1" x14ac:dyDescent="0.2">
      <c r="A20" s="533"/>
      <c r="B20" s="534"/>
      <c r="C20" s="538" t="s">
        <v>777</v>
      </c>
      <c r="D20" s="539" t="s">
        <v>778</v>
      </c>
      <c r="E20" s="531"/>
      <c r="F20" s="531">
        <v>200</v>
      </c>
      <c r="G20" s="531"/>
      <c r="H20" s="532"/>
      <c r="I20" s="532"/>
      <c r="J20" s="532"/>
    </row>
    <row r="21" spans="1:10" s="197" customFormat="1" ht="17.25" hidden="1" customHeight="1" x14ac:dyDescent="0.2">
      <c r="A21" s="533"/>
      <c r="B21" s="534"/>
      <c r="C21" s="538" t="s">
        <v>779</v>
      </c>
      <c r="D21" s="539" t="s">
        <v>780</v>
      </c>
      <c r="E21" s="531"/>
      <c r="F21" s="531">
        <v>500</v>
      </c>
      <c r="G21" s="531"/>
      <c r="H21" s="532"/>
      <c r="I21" s="532"/>
      <c r="J21" s="532"/>
    </row>
    <row r="22" spans="1:10" s="197" customFormat="1" ht="17.25" hidden="1" customHeight="1" x14ac:dyDescent="0.2">
      <c r="A22" s="533"/>
      <c r="B22" s="534"/>
      <c r="C22" s="538" t="s">
        <v>781</v>
      </c>
      <c r="D22" s="539" t="s">
        <v>782</v>
      </c>
      <c r="E22" s="531"/>
      <c r="F22" s="531">
        <v>300</v>
      </c>
      <c r="G22" s="531"/>
      <c r="H22" s="532"/>
      <c r="I22" s="532"/>
      <c r="J22" s="532"/>
    </row>
    <row r="23" spans="1:10" ht="30" hidden="1" customHeight="1" x14ac:dyDescent="0.25">
      <c r="A23" s="518"/>
      <c r="B23" s="523"/>
      <c r="C23" s="540" t="s">
        <v>76</v>
      </c>
      <c r="D23" s="541" t="s">
        <v>783</v>
      </c>
      <c r="E23" s="531"/>
      <c r="F23" s="531"/>
      <c r="G23" s="531">
        <v>0</v>
      </c>
      <c r="H23" s="532"/>
      <c r="I23" s="532"/>
      <c r="J23" s="532"/>
    </row>
    <row r="24" spans="1:10" ht="23.25" hidden="1" customHeight="1" x14ac:dyDescent="0.25">
      <c r="A24" s="518"/>
      <c r="B24" s="523"/>
      <c r="C24" s="529" t="s">
        <v>166</v>
      </c>
      <c r="D24" s="541" t="s">
        <v>784</v>
      </c>
      <c r="E24" s="531"/>
      <c r="F24" s="531"/>
      <c r="G24" s="531"/>
      <c r="H24" s="532"/>
      <c r="I24" s="532"/>
      <c r="J24" s="532"/>
    </row>
    <row r="25" spans="1:10" hidden="1" x14ac:dyDescent="0.2"/>
    <row r="26" spans="1:10" hidden="1" x14ac:dyDescent="0.2"/>
    <row r="27" spans="1:10" hidden="1" x14ac:dyDescent="0.2"/>
    <row r="28" spans="1:10" ht="17.25" customHeight="1" x14ac:dyDescent="0.2">
      <c r="A28" s="518" t="s">
        <v>3</v>
      </c>
      <c r="B28" s="542"/>
      <c r="C28" s="524"/>
      <c r="D28" s="543" t="s">
        <v>785</v>
      </c>
      <c r="E28" s="544" t="e">
        <f>SUM(#REF!+E37+E36+E30+E29)</f>
        <v>#REF!</v>
      </c>
      <c r="F28" s="544" t="e">
        <f>SUM(#REF!+F37+F36+F30+F29)</f>
        <v>#REF!</v>
      </c>
      <c r="G28" s="544" t="e">
        <f>SUM(#REF!+G37+G36+G30+G29)</f>
        <v>#REF!</v>
      </c>
      <c r="H28" s="544" t="e">
        <f>SUM(#REF!+H37+H36+H30+H29)</f>
        <v>#REF!</v>
      </c>
      <c r="I28" s="544">
        <f>SUM(I37+I36+I30+I29)</f>
        <v>4350</v>
      </c>
      <c r="J28" s="544">
        <f>SUM(J37+J36+J30+J29)</f>
        <v>4350</v>
      </c>
    </row>
    <row r="29" spans="1:10" ht="17.25" hidden="1" customHeight="1" x14ac:dyDescent="0.2">
      <c r="A29" s="518"/>
      <c r="B29" s="523" t="s">
        <v>4</v>
      </c>
      <c r="C29" s="524"/>
      <c r="D29" s="545"/>
      <c r="E29" s="526">
        <v>9330</v>
      </c>
      <c r="F29" s="526">
        <v>4740</v>
      </c>
      <c r="G29" s="526">
        <v>5431</v>
      </c>
      <c r="H29" s="546">
        <v>5862</v>
      </c>
      <c r="I29" s="546">
        <v>0</v>
      </c>
      <c r="J29" s="546"/>
    </row>
    <row r="30" spans="1:10" ht="17.25" hidden="1" customHeight="1" x14ac:dyDescent="0.2">
      <c r="A30" s="518"/>
      <c r="B30" s="523" t="s">
        <v>6</v>
      </c>
      <c r="C30" s="524"/>
      <c r="D30" s="545"/>
      <c r="E30" s="526">
        <v>12055</v>
      </c>
      <c r="F30" s="526">
        <v>2009</v>
      </c>
      <c r="G30" s="526">
        <v>1950</v>
      </c>
      <c r="H30" s="546">
        <v>2005</v>
      </c>
      <c r="I30" s="546">
        <f>SUM(I31:I35)</f>
        <v>0</v>
      </c>
      <c r="J30" s="546">
        <f>SUM(J31:J35)</f>
        <v>0</v>
      </c>
    </row>
    <row r="31" spans="1:10" ht="28.5" hidden="1" customHeight="1" x14ac:dyDescent="0.2">
      <c r="A31" s="518"/>
      <c r="B31" s="503" t="s">
        <v>537</v>
      </c>
      <c r="C31" s="524"/>
      <c r="D31" s="547"/>
      <c r="E31" s="526"/>
      <c r="F31" s="526"/>
      <c r="G31" s="526"/>
      <c r="H31" s="546">
        <v>2005</v>
      </c>
      <c r="I31" s="546"/>
      <c r="J31" s="546"/>
    </row>
    <row r="32" spans="1:10" ht="17.25" hidden="1" customHeight="1" x14ac:dyDescent="0.2">
      <c r="A32" s="518"/>
      <c r="B32" s="503" t="s">
        <v>786</v>
      </c>
      <c r="C32" s="524"/>
      <c r="D32" s="547"/>
      <c r="E32" s="526"/>
      <c r="F32" s="526"/>
      <c r="G32" s="526"/>
      <c r="H32" s="546"/>
      <c r="I32" s="546"/>
      <c r="J32" s="546"/>
    </row>
    <row r="33" spans="1:10" ht="17.25" hidden="1" customHeight="1" x14ac:dyDescent="0.2">
      <c r="A33" s="518"/>
      <c r="B33" s="503" t="s">
        <v>787</v>
      </c>
      <c r="C33" s="524"/>
      <c r="D33" s="547"/>
      <c r="E33" s="526"/>
      <c r="F33" s="526"/>
      <c r="G33" s="526"/>
      <c r="H33" s="546"/>
      <c r="I33" s="546"/>
      <c r="J33" s="546"/>
    </row>
    <row r="34" spans="1:10" ht="17.25" hidden="1" customHeight="1" x14ac:dyDescent="0.2">
      <c r="A34" s="518"/>
      <c r="B34" s="503" t="s">
        <v>788</v>
      </c>
      <c r="C34" s="524"/>
      <c r="D34" s="547"/>
      <c r="E34" s="526"/>
      <c r="F34" s="526"/>
      <c r="G34" s="526"/>
      <c r="H34" s="546"/>
      <c r="I34" s="546"/>
      <c r="J34" s="546"/>
    </row>
    <row r="35" spans="1:10" ht="17.25" hidden="1" customHeight="1" x14ac:dyDescent="0.2">
      <c r="A35" s="518"/>
      <c r="B35" s="503" t="s">
        <v>789</v>
      </c>
      <c r="C35" s="524"/>
      <c r="D35" s="547"/>
      <c r="E35" s="526"/>
      <c r="F35" s="526"/>
      <c r="G35" s="526"/>
      <c r="H35" s="546"/>
      <c r="I35" s="546"/>
      <c r="J35" s="546"/>
    </row>
    <row r="36" spans="1:10" ht="17.25" customHeight="1" x14ac:dyDescent="0.2">
      <c r="A36" s="518"/>
      <c r="B36" s="503" t="s">
        <v>4</v>
      </c>
      <c r="C36" s="524"/>
      <c r="D36" s="548" t="s">
        <v>790</v>
      </c>
      <c r="E36" s="526">
        <v>2500</v>
      </c>
      <c r="F36" s="526">
        <v>2600</v>
      </c>
      <c r="G36" s="526">
        <v>2601</v>
      </c>
      <c r="H36" s="546">
        <v>1850</v>
      </c>
      <c r="I36" s="546">
        <v>500</v>
      </c>
      <c r="J36" s="546">
        <v>500</v>
      </c>
    </row>
    <row r="37" spans="1:10" ht="17.25" customHeight="1" x14ac:dyDescent="0.2">
      <c r="A37" s="518"/>
      <c r="B37" s="523" t="s">
        <v>143</v>
      </c>
      <c r="C37" s="524"/>
      <c r="D37" s="548" t="s">
        <v>791</v>
      </c>
      <c r="E37" s="526">
        <f t="shared" ref="E37:J37" si="0">SUM(E38:E45)</f>
        <v>8500</v>
      </c>
      <c r="F37" s="526">
        <f t="shared" si="0"/>
        <v>8500</v>
      </c>
      <c r="G37" s="526">
        <f t="shared" si="0"/>
        <v>8500</v>
      </c>
      <c r="H37" s="526">
        <f t="shared" si="0"/>
        <v>3900</v>
      </c>
      <c r="I37" s="526">
        <f t="shared" si="0"/>
        <v>3850</v>
      </c>
      <c r="J37" s="526">
        <f t="shared" si="0"/>
        <v>3850</v>
      </c>
    </row>
    <row r="38" spans="1:10" ht="17.25" customHeight="1" x14ac:dyDescent="0.2">
      <c r="A38" s="549"/>
      <c r="B38" s="1576" t="s">
        <v>537</v>
      </c>
      <c r="C38" s="1576"/>
      <c r="D38" s="547" t="s">
        <v>792</v>
      </c>
      <c r="E38" s="551">
        <v>1200</v>
      </c>
      <c r="F38" s="551">
        <v>1400</v>
      </c>
      <c r="G38" s="551">
        <v>1400</v>
      </c>
      <c r="H38" s="552">
        <v>1600</v>
      </c>
      <c r="I38" s="552">
        <v>1600</v>
      </c>
      <c r="J38" s="552">
        <v>1600</v>
      </c>
    </row>
    <row r="39" spans="1:10" ht="17.25" customHeight="1" x14ac:dyDescent="0.2">
      <c r="A39" s="549"/>
      <c r="B39" s="1576" t="s">
        <v>786</v>
      </c>
      <c r="C39" s="1576"/>
      <c r="D39" s="547" t="s">
        <v>793</v>
      </c>
      <c r="E39" s="551">
        <v>2500</v>
      </c>
      <c r="F39" s="551">
        <v>2800</v>
      </c>
      <c r="G39" s="551">
        <v>2800</v>
      </c>
      <c r="H39" s="532"/>
      <c r="I39" s="532"/>
      <c r="J39" s="532"/>
    </row>
    <row r="40" spans="1:10" ht="17.25" customHeight="1" x14ac:dyDescent="0.2">
      <c r="A40" s="549"/>
      <c r="B40" s="1576" t="s">
        <v>787</v>
      </c>
      <c r="C40" s="1576"/>
      <c r="D40" s="547" t="s">
        <v>794</v>
      </c>
      <c r="E40" s="551">
        <v>500</v>
      </c>
      <c r="F40" s="551">
        <v>500</v>
      </c>
      <c r="G40" s="551">
        <v>500</v>
      </c>
      <c r="H40" s="552">
        <v>500</v>
      </c>
      <c r="I40" s="552">
        <v>1000</v>
      </c>
      <c r="J40" s="552">
        <v>1000</v>
      </c>
    </row>
    <row r="41" spans="1:10" ht="17.25" customHeight="1" x14ac:dyDescent="0.2">
      <c r="A41" s="549"/>
      <c r="B41" s="1576" t="s">
        <v>788</v>
      </c>
      <c r="C41" s="1576"/>
      <c r="D41" s="547" t="s">
        <v>795</v>
      </c>
      <c r="E41" s="551">
        <v>200</v>
      </c>
      <c r="F41" s="551">
        <v>200</v>
      </c>
      <c r="G41" s="551">
        <v>200</v>
      </c>
      <c r="H41" s="552">
        <v>200</v>
      </c>
      <c r="I41" s="552"/>
      <c r="J41" s="552"/>
    </row>
    <row r="42" spans="1:10" ht="17.25" customHeight="1" x14ac:dyDescent="0.2">
      <c r="A42" s="549"/>
      <c r="B42" s="1576" t="s">
        <v>789</v>
      </c>
      <c r="C42" s="1576"/>
      <c r="D42" s="547" t="s">
        <v>796</v>
      </c>
      <c r="E42" s="551">
        <v>1500</v>
      </c>
      <c r="F42" s="551">
        <v>1000</v>
      </c>
      <c r="G42" s="551">
        <v>1000</v>
      </c>
      <c r="H42" s="552">
        <v>1000</v>
      </c>
      <c r="I42" s="552"/>
      <c r="J42" s="552"/>
    </row>
    <row r="43" spans="1:10" ht="17.25" customHeight="1" x14ac:dyDescent="0.2">
      <c r="A43" s="549"/>
      <c r="B43" s="1576" t="s">
        <v>1065</v>
      </c>
      <c r="C43" s="1576"/>
      <c r="D43" s="547" t="s">
        <v>797</v>
      </c>
      <c r="E43" s="551">
        <v>2000</v>
      </c>
      <c r="F43" s="551">
        <v>2000</v>
      </c>
      <c r="G43" s="551">
        <v>2000</v>
      </c>
      <c r="H43" s="553"/>
      <c r="I43" s="532">
        <v>350</v>
      </c>
      <c r="J43" s="532">
        <v>350</v>
      </c>
    </row>
    <row r="44" spans="1:10" ht="17.25" customHeight="1" x14ac:dyDescent="0.2">
      <c r="A44" s="549"/>
      <c r="B44" s="1576" t="s">
        <v>1066</v>
      </c>
      <c r="C44" s="1576"/>
      <c r="D44" s="547" t="s">
        <v>798</v>
      </c>
      <c r="E44" s="551"/>
      <c r="F44" s="551"/>
      <c r="G44" s="553"/>
      <c r="H44" s="554">
        <v>0</v>
      </c>
      <c r="I44" s="552">
        <v>350</v>
      </c>
      <c r="J44" s="552">
        <v>350</v>
      </c>
    </row>
    <row r="45" spans="1:10" ht="17.25" customHeight="1" x14ac:dyDescent="0.2">
      <c r="A45" s="549"/>
      <c r="B45" s="1576" t="s">
        <v>1067</v>
      </c>
      <c r="C45" s="1576"/>
      <c r="D45" s="547" t="s">
        <v>799</v>
      </c>
      <c r="E45" s="551">
        <v>600</v>
      </c>
      <c r="F45" s="551">
        <v>600</v>
      </c>
      <c r="G45" s="551">
        <v>600</v>
      </c>
      <c r="H45" s="552">
        <v>600</v>
      </c>
      <c r="I45" s="552">
        <v>550</v>
      </c>
      <c r="J45" s="552">
        <v>550</v>
      </c>
    </row>
    <row r="46" spans="1:10" ht="17.25" customHeight="1" x14ac:dyDescent="0.2">
      <c r="A46" s="518" t="s">
        <v>12</v>
      </c>
      <c r="B46" s="542"/>
      <c r="C46" s="524"/>
      <c r="D46" s="521" t="s">
        <v>800</v>
      </c>
      <c r="E46" s="522" t="e">
        <f>SUM(E47:E50,#REF!)</f>
        <v>#REF!</v>
      </c>
      <c r="F46" s="522" t="e">
        <f>SUM(F47+F48+F50+#REF!+F51+#REF!+F52+F53+F54+#REF!)</f>
        <v>#REF!</v>
      </c>
      <c r="G46" s="522" t="e">
        <f>SUM(G47+G48+G50+#REF!+G51+#REF!+G52+G53+G54+#REF!+G55+G59+G60+G90+G91)</f>
        <v>#REF!</v>
      </c>
      <c r="H46" s="522" t="e">
        <f>SUM(H47+H48+H50+#REF!+H51+#REF!+H52+H53+H54+#REF!+H55+H59+H60+H90+H91+H92)</f>
        <v>#REF!</v>
      </c>
      <c r="I46" s="522">
        <f>SUM(I49+I47+I48+I50+I51+I52+I53+I54+I55+I60+I71+I89+I90+I91+I92+I93+I94+I95+I96+I97+I98+I99+I100+I101+I59+I102+I104)+I103</f>
        <v>138255</v>
      </c>
      <c r="J46" s="522">
        <f>SUM(J49+J47+J48+J50+J51+J52+J53+J54+J55+J60+J71+J89+J90+J91+J92+J93+J94+J95+J96+J97+J98+J99+J100+J101+J59+J102+J104)+J103+J105+J106+J107+J108+J109</f>
        <v>91075</v>
      </c>
    </row>
    <row r="47" spans="1:10" ht="17.25" customHeight="1" x14ac:dyDescent="0.2">
      <c r="A47" s="518"/>
      <c r="B47" s="523" t="s">
        <v>720</v>
      </c>
      <c r="C47" s="540"/>
      <c r="D47" s="525" t="s">
        <v>801</v>
      </c>
      <c r="E47" s="526">
        <v>1000</v>
      </c>
      <c r="F47" s="526">
        <v>1000</v>
      </c>
      <c r="G47" s="526">
        <v>1000</v>
      </c>
      <c r="H47" s="546">
        <v>1400</v>
      </c>
      <c r="I47" s="546">
        <v>1400</v>
      </c>
      <c r="J47" s="546">
        <v>1400</v>
      </c>
    </row>
    <row r="48" spans="1:10" ht="17.25" customHeight="1" x14ac:dyDescent="0.2">
      <c r="A48" s="518"/>
      <c r="B48" s="523" t="s">
        <v>538</v>
      </c>
      <c r="C48" s="540"/>
      <c r="D48" s="525" t="s">
        <v>802</v>
      </c>
      <c r="E48" s="526">
        <v>3500</v>
      </c>
      <c r="F48" s="526">
        <v>3500</v>
      </c>
      <c r="G48" s="526">
        <v>3500</v>
      </c>
      <c r="H48" s="546">
        <v>3500</v>
      </c>
      <c r="I48" s="546">
        <v>2800</v>
      </c>
      <c r="J48" s="546">
        <v>2800</v>
      </c>
    </row>
    <row r="49" spans="1:10" ht="17.25" customHeight="1" x14ac:dyDescent="0.2">
      <c r="A49" s="518"/>
      <c r="B49" s="523" t="s">
        <v>722</v>
      </c>
      <c r="C49" s="540"/>
      <c r="D49" s="525" t="s">
        <v>803</v>
      </c>
      <c r="E49" s="551"/>
      <c r="F49" s="551"/>
      <c r="G49" s="551"/>
      <c r="H49" s="552"/>
      <c r="I49" s="546">
        <v>1500</v>
      </c>
      <c r="J49" s="546">
        <v>1500</v>
      </c>
    </row>
    <row r="50" spans="1:10" ht="17.25" customHeight="1" x14ac:dyDescent="0.2">
      <c r="A50" s="518"/>
      <c r="B50" s="523" t="s">
        <v>724</v>
      </c>
      <c r="C50" s="540"/>
      <c r="D50" s="525" t="s">
        <v>804</v>
      </c>
      <c r="E50" s="526">
        <v>550</v>
      </c>
      <c r="F50" s="526">
        <v>550</v>
      </c>
      <c r="G50" s="526">
        <v>550</v>
      </c>
      <c r="H50" s="546">
        <v>600</v>
      </c>
      <c r="I50" s="546">
        <v>480</v>
      </c>
      <c r="J50" s="546">
        <v>560</v>
      </c>
    </row>
    <row r="51" spans="1:10" ht="17.25" customHeight="1" x14ac:dyDescent="0.2">
      <c r="A51" s="518"/>
      <c r="B51" s="523" t="s">
        <v>726</v>
      </c>
      <c r="C51" s="540"/>
      <c r="D51" s="264" t="s">
        <v>805</v>
      </c>
      <c r="E51" s="526">
        <v>800</v>
      </c>
      <c r="F51" s="555">
        <v>800</v>
      </c>
      <c r="G51" s="555">
        <v>800</v>
      </c>
      <c r="H51" s="556">
        <v>800</v>
      </c>
      <c r="I51" s="556">
        <v>800</v>
      </c>
      <c r="J51" s="556">
        <v>800</v>
      </c>
    </row>
    <row r="52" spans="1:10" ht="17.25" customHeight="1" x14ac:dyDescent="0.2">
      <c r="A52" s="518"/>
      <c r="B52" s="523" t="s">
        <v>727</v>
      </c>
      <c r="C52" s="540"/>
      <c r="D52" s="525" t="s">
        <v>807</v>
      </c>
      <c r="E52" s="526"/>
      <c r="F52" s="555">
        <v>30000</v>
      </c>
      <c r="G52" s="555">
        <v>30000</v>
      </c>
      <c r="H52" s="556">
        <v>0</v>
      </c>
      <c r="I52" s="556">
        <v>0</v>
      </c>
      <c r="J52" s="556"/>
    </row>
    <row r="53" spans="1:10" ht="30" x14ac:dyDescent="0.2">
      <c r="A53" s="779"/>
      <c r="B53" s="523" t="s">
        <v>806</v>
      </c>
      <c r="C53" s="780"/>
      <c r="D53" s="778" t="s">
        <v>809</v>
      </c>
      <c r="E53" s="759"/>
      <c r="F53" s="761">
        <v>5000</v>
      </c>
      <c r="G53" s="761">
        <v>5000</v>
      </c>
      <c r="H53" s="762">
        <v>2000</v>
      </c>
      <c r="I53" s="762">
        <v>2000</v>
      </c>
      <c r="J53" s="762">
        <v>2000</v>
      </c>
    </row>
    <row r="54" spans="1:10" ht="17.25" customHeight="1" x14ac:dyDescent="0.2">
      <c r="A54" s="518"/>
      <c r="B54" s="523" t="s">
        <v>808</v>
      </c>
      <c r="C54" s="540"/>
      <c r="D54" s="525" t="s">
        <v>811</v>
      </c>
      <c r="E54" s="526"/>
      <c r="F54" s="555">
        <v>1000</v>
      </c>
      <c r="G54" s="555">
        <v>1000</v>
      </c>
      <c r="H54" s="556">
        <v>1000</v>
      </c>
      <c r="I54" s="556">
        <v>500</v>
      </c>
      <c r="J54" s="556">
        <v>500</v>
      </c>
    </row>
    <row r="55" spans="1:10" ht="17.25" customHeight="1" x14ac:dyDescent="0.2">
      <c r="A55" s="518"/>
      <c r="B55" s="523" t="s">
        <v>810</v>
      </c>
      <c r="C55" s="557"/>
      <c r="D55" s="525" t="s">
        <v>813</v>
      </c>
      <c r="E55" s="526"/>
      <c r="F55" s="558"/>
      <c r="G55" s="555">
        <f>SUM(G56:G58)</f>
        <v>11000</v>
      </c>
      <c r="H55" s="555">
        <f>SUM(H56:H58)</f>
        <v>7000</v>
      </c>
      <c r="I55" s="555">
        <f>SUM(I56:I58)</f>
        <v>4000</v>
      </c>
      <c r="J55" s="555">
        <f>SUM(J56:J58)</f>
        <v>4000</v>
      </c>
    </row>
    <row r="56" spans="1:10" ht="17.25" customHeight="1" x14ac:dyDescent="0.2">
      <c r="A56" s="549"/>
      <c r="B56" s="559" t="s">
        <v>1068</v>
      </c>
      <c r="C56" s="550"/>
      <c r="D56" s="560" t="s">
        <v>814</v>
      </c>
      <c r="E56" s="551"/>
      <c r="F56" s="561"/>
      <c r="G56" s="562">
        <v>4000</v>
      </c>
      <c r="H56" s="563">
        <v>0</v>
      </c>
      <c r="I56" s="563"/>
      <c r="J56" s="563"/>
    </row>
    <row r="57" spans="1:10" ht="17.25" customHeight="1" x14ac:dyDescent="0.2">
      <c r="A57" s="549"/>
      <c r="B57" s="559" t="s">
        <v>1069</v>
      </c>
      <c r="C57" s="550"/>
      <c r="D57" s="560" t="s">
        <v>815</v>
      </c>
      <c r="E57" s="551"/>
      <c r="F57" s="561"/>
      <c r="G57" s="562">
        <v>4000</v>
      </c>
      <c r="H57" s="563">
        <v>4000</v>
      </c>
      <c r="I57" s="563">
        <v>2000</v>
      </c>
      <c r="J57" s="563">
        <v>2000</v>
      </c>
    </row>
    <row r="58" spans="1:10" ht="17.25" customHeight="1" x14ac:dyDescent="0.2">
      <c r="A58" s="549"/>
      <c r="B58" s="559" t="s">
        <v>1070</v>
      </c>
      <c r="C58" s="550"/>
      <c r="D58" s="560" t="s">
        <v>816</v>
      </c>
      <c r="E58" s="551"/>
      <c r="F58" s="561"/>
      <c r="G58" s="562">
        <v>3000</v>
      </c>
      <c r="H58" s="563">
        <v>3000</v>
      </c>
      <c r="I58" s="563">
        <v>2000</v>
      </c>
      <c r="J58" s="563">
        <v>2000</v>
      </c>
    </row>
    <row r="59" spans="1:10" ht="17.25" customHeight="1" x14ac:dyDescent="0.2">
      <c r="A59" s="518"/>
      <c r="B59" s="564" t="s">
        <v>1071</v>
      </c>
      <c r="C59" s="564"/>
      <c r="D59" s="525" t="s">
        <v>819</v>
      </c>
      <c r="E59" s="526"/>
      <c r="F59" s="558"/>
      <c r="G59" s="555">
        <v>1000</v>
      </c>
      <c r="H59" s="556">
        <v>1000</v>
      </c>
      <c r="I59" s="556">
        <v>1000</v>
      </c>
      <c r="J59" s="556">
        <v>1000</v>
      </c>
    </row>
    <row r="60" spans="1:10" ht="19.5" customHeight="1" x14ac:dyDescent="0.2">
      <c r="A60" s="565"/>
      <c r="B60" s="564" t="s">
        <v>812</v>
      </c>
      <c r="C60" s="564"/>
      <c r="D60" s="525" t="s">
        <v>821</v>
      </c>
      <c r="E60" s="526"/>
      <c r="F60" s="558"/>
      <c r="G60" s="555" t="e">
        <f>SUM(#REF!+#REF!+#REF!,#REF!,G72)</f>
        <v>#REF!</v>
      </c>
      <c r="H60" s="555" t="e">
        <f>SUM(#REF!,#REF!,H72,#REF!)</f>
        <v>#REF!</v>
      </c>
      <c r="I60" s="555">
        <f>SUM(I61:I70)</f>
        <v>3470</v>
      </c>
      <c r="J60" s="555">
        <f>SUM(J61:J70)</f>
        <v>3470</v>
      </c>
    </row>
    <row r="61" spans="1:10" ht="17.25" customHeight="1" x14ac:dyDescent="0.2">
      <c r="A61" s="518"/>
      <c r="B61" s="559" t="s">
        <v>1072</v>
      </c>
      <c r="C61" s="550"/>
      <c r="D61" s="758" t="s">
        <v>822</v>
      </c>
      <c r="E61" s="759"/>
      <c r="F61" s="760"/>
      <c r="G61" s="761">
        <v>260</v>
      </c>
      <c r="H61" s="762">
        <v>350</v>
      </c>
      <c r="I61" s="762">
        <v>400</v>
      </c>
      <c r="J61" s="762">
        <v>400</v>
      </c>
    </row>
    <row r="62" spans="1:10" ht="28.5" customHeight="1" x14ac:dyDescent="0.2">
      <c r="A62" s="518"/>
      <c r="B62" s="559" t="s">
        <v>1073</v>
      </c>
      <c r="C62" s="550"/>
      <c r="D62" s="763">
        <v>38791</v>
      </c>
      <c r="E62" s="759"/>
      <c r="F62" s="760"/>
      <c r="G62" s="761">
        <v>300</v>
      </c>
      <c r="H62" s="762">
        <v>320</v>
      </c>
      <c r="I62" s="762">
        <v>300</v>
      </c>
      <c r="J62" s="762">
        <v>300</v>
      </c>
    </row>
    <row r="63" spans="1:10" ht="17.25" customHeight="1" x14ac:dyDescent="0.2">
      <c r="A63" s="518"/>
      <c r="B63" s="559" t="s">
        <v>1074</v>
      </c>
      <c r="C63" s="550"/>
      <c r="D63" s="758" t="s">
        <v>823</v>
      </c>
      <c r="E63" s="759"/>
      <c r="F63" s="760"/>
      <c r="G63" s="761">
        <v>690</v>
      </c>
      <c r="H63" s="762">
        <v>900</v>
      </c>
      <c r="I63" s="762">
        <v>1000</v>
      </c>
      <c r="J63" s="762">
        <v>1000</v>
      </c>
    </row>
    <row r="64" spans="1:10" ht="17.25" customHeight="1" x14ac:dyDescent="0.2">
      <c r="A64" s="518"/>
      <c r="B64" s="559" t="s">
        <v>1075</v>
      </c>
      <c r="C64" s="550"/>
      <c r="D64" s="758" t="s">
        <v>824</v>
      </c>
      <c r="E64" s="759"/>
      <c r="F64" s="760"/>
      <c r="G64" s="761">
        <v>570</v>
      </c>
      <c r="H64" s="762">
        <v>600</v>
      </c>
      <c r="I64" s="762">
        <v>310</v>
      </c>
      <c r="J64" s="762">
        <v>310</v>
      </c>
    </row>
    <row r="65" spans="1:10" s="197" customFormat="1" ht="17.25" customHeight="1" x14ac:dyDescent="0.2">
      <c r="A65" s="518"/>
      <c r="B65" s="559" t="s">
        <v>1076</v>
      </c>
      <c r="C65" s="550"/>
      <c r="D65" s="764" t="s">
        <v>825</v>
      </c>
      <c r="E65" s="759"/>
      <c r="F65" s="760"/>
      <c r="G65" s="761">
        <v>520</v>
      </c>
      <c r="H65" s="762">
        <v>520</v>
      </c>
      <c r="I65" s="762">
        <v>350</v>
      </c>
      <c r="J65" s="762">
        <v>350</v>
      </c>
    </row>
    <row r="66" spans="1:10" s="189" customFormat="1" ht="17.25" customHeight="1" x14ac:dyDescent="0.2">
      <c r="A66" s="518"/>
      <c r="B66" s="559" t="s">
        <v>1077</v>
      </c>
      <c r="C66" s="550"/>
      <c r="D66" s="764" t="s">
        <v>826</v>
      </c>
      <c r="E66" s="759"/>
      <c r="F66" s="760"/>
      <c r="G66" s="761">
        <v>190</v>
      </c>
      <c r="H66" s="762">
        <v>200</v>
      </c>
      <c r="I66" s="762">
        <v>220</v>
      </c>
      <c r="J66" s="762">
        <v>220</v>
      </c>
    </row>
    <row r="67" spans="1:10" s="189" customFormat="1" ht="17.25" customHeight="1" x14ac:dyDescent="0.2">
      <c r="A67" s="518"/>
      <c r="B67" s="559" t="s">
        <v>1078</v>
      </c>
      <c r="C67" s="550"/>
      <c r="D67" s="764" t="s">
        <v>827</v>
      </c>
      <c r="E67" s="759"/>
      <c r="F67" s="760"/>
      <c r="G67" s="761">
        <v>370</v>
      </c>
      <c r="H67" s="762">
        <v>370</v>
      </c>
      <c r="I67" s="762">
        <v>400</v>
      </c>
      <c r="J67" s="762">
        <v>400</v>
      </c>
    </row>
    <row r="68" spans="1:10" s="189" customFormat="1" ht="17.25" customHeight="1" x14ac:dyDescent="0.2">
      <c r="A68" s="518"/>
      <c r="B68" s="559" t="s">
        <v>1079</v>
      </c>
      <c r="C68" s="550"/>
      <c r="D68" s="764" t="s">
        <v>1027</v>
      </c>
      <c r="E68" s="759"/>
      <c r="F68" s="760"/>
      <c r="G68" s="761"/>
      <c r="H68" s="762"/>
      <c r="I68" s="762">
        <v>0</v>
      </c>
      <c r="J68" s="762">
        <v>0</v>
      </c>
    </row>
    <row r="69" spans="1:10" s="189" customFormat="1" ht="17.25" customHeight="1" x14ac:dyDescent="0.2">
      <c r="A69" s="518"/>
      <c r="B69" s="559" t="s">
        <v>1080</v>
      </c>
      <c r="C69" s="550"/>
      <c r="D69" s="764" t="s">
        <v>1045</v>
      </c>
      <c r="E69" s="759"/>
      <c r="F69" s="760"/>
      <c r="G69" s="761"/>
      <c r="H69" s="762"/>
      <c r="I69" s="762">
        <v>350</v>
      </c>
      <c r="J69" s="762">
        <v>350</v>
      </c>
    </row>
    <row r="70" spans="1:10" s="189" customFormat="1" ht="17.25" customHeight="1" x14ac:dyDescent="0.2">
      <c r="A70" s="518"/>
      <c r="B70" s="559" t="s">
        <v>1081</v>
      </c>
      <c r="C70" s="550"/>
      <c r="D70" s="764" t="s">
        <v>1430</v>
      </c>
      <c r="E70" s="759"/>
      <c r="F70" s="760"/>
      <c r="G70" s="761"/>
      <c r="H70" s="762"/>
      <c r="I70" s="762">
        <v>140</v>
      </c>
      <c r="J70" s="762">
        <v>140</v>
      </c>
    </row>
    <row r="71" spans="1:10" s="189" customFormat="1" ht="28.5" hidden="1" customHeight="1" x14ac:dyDescent="0.2">
      <c r="A71" s="518"/>
      <c r="B71" s="564" t="s">
        <v>817</v>
      </c>
      <c r="C71" s="550"/>
      <c r="D71" s="525" t="s">
        <v>829</v>
      </c>
      <c r="E71" s="526"/>
      <c r="F71" s="558"/>
      <c r="G71" s="555"/>
      <c r="H71" s="556"/>
      <c r="I71" s="556">
        <f>SUM(I72:I88)</f>
        <v>20000</v>
      </c>
      <c r="J71" s="556">
        <f>SUM(J72:J88)</f>
        <v>0</v>
      </c>
    </row>
    <row r="72" spans="1:10" ht="15" hidden="1" x14ac:dyDescent="0.2">
      <c r="A72" s="518"/>
      <c r="B72" s="566" t="s">
        <v>1082</v>
      </c>
      <c r="C72" s="567"/>
      <c r="D72" s="758" t="s">
        <v>1176</v>
      </c>
      <c r="E72" s="759"/>
      <c r="F72" s="760"/>
      <c r="G72" s="761">
        <v>1500</v>
      </c>
      <c r="H72" s="762">
        <v>2000</v>
      </c>
      <c r="I72" s="762">
        <v>500</v>
      </c>
      <c r="J72" s="556"/>
    </row>
    <row r="73" spans="1:10" ht="17.25" hidden="1" customHeight="1" x14ac:dyDescent="0.2">
      <c r="A73" s="518"/>
      <c r="B73" s="566" t="s">
        <v>1083</v>
      </c>
      <c r="C73" s="567"/>
      <c r="D73" s="758" t="s">
        <v>830</v>
      </c>
      <c r="E73" s="759"/>
      <c r="F73" s="760"/>
      <c r="G73" s="761"/>
      <c r="H73" s="762"/>
      <c r="I73" s="762">
        <v>2200</v>
      </c>
      <c r="J73" s="556"/>
    </row>
    <row r="74" spans="1:10" ht="17.25" hidden="1" customHeight="1" x14ac:dyDescent="0.2">
      <c r="A74" s="518"/>
      <c r="B74" s="566" t="s">
        <v>1084</v>
      </c>
      <c r="C74" s="567"/>
      <c r="D74" s="758" t="s">
        <v>831</v>
      </c>
      <c r="E74" s="759"/>
      <c r="F74" s="760"/>
      <c r="G74" s="761"/>
      <c r="H74" s="762"/>
      <c r="I74" s="762">
        <v>50</v>
      </c>
      <c r="J74" s="556">
        <v>0</v>
      </c>
    </row>
    <row r="75" spans="1:10" ht="17.25" hidden="1" customHeight="1" x14ac:dyDescent="0.2">
      <c r="A75" s="518"/>
      <c r="B75" s="566" t="s">
        <v>1085</v>
      </c>
      <c r="C75" s="567"/>
      <c r="D75" s="758" t="s">
        <v>1053</v>
      </c>
      <c r="E75" s="759"/>
      <c r="F75" s="760"/>
      <c r="G75" s="761"/>
      <c r="H75" s="762"/>
      <c r="I75" s="762">
        <v>100</v>
      </c>
      <c r="J75" s="556">
        <v>0</v>
      </c>
    </row>
    <row r="76" spans="1:10" ht="17.25" hidden="1" customHeight="1" x14ac:dyDescent="0.2">
      <c r="A76" s="518"/>
      <c r="B76" s="566" t="s">
        <v>1086</v>
      </c>
      <c r="C76" s="567"/>
      <c r="D76" s="758" t="s">
        <v>1054</v>
      </c>
      <c r="E76" s="759"/>
      <c r="F76" s="760"/>
      <c r="G76" s="761"/>
      <c r="H76" s="762"/>
      <c r="I76" s="762">
        <v>100</v>
      </c>
      <c r="J76" s="556">
        <v>0</v>
      </c>
    </row>
    <row r="77" spans="1:10" ht="17.25" hidden="1" customHeight="1" x14ac:dyDescent="0.2">
      <c r="A77" s="518"/>
      <c r="B77" s="566" t="s">
        <v>1087</v>
      </c>
      <c r="C77" s="567"/>
      <c r="D77" s="758" t="s">
        <v>1055</v>
      </c>
      <c r="E77" s="759"/>
      <c r="F77" s="760"/>
      <c r="G77" s="761"/>
      <c r="H77" s="762"/>
      <c r="I77" s="762">
        <v>100</v>
      </c>
      <c r="J77" s="556">
        <v>0</v>
      </c>
    </row>
    <row r="78" spans="1:10" ht="17.25" hidden="1" customHeight="1" x14ac:dyDescent="0.2">
      <c r="A78" s="518"/>
      <c r="B78" s="566" t="s">
        <v>1088</v>
      </c>
      <c r="C78" s="567"/>
      <c r="D78" s="758" t="s">
        <v>1056</v>
      </c>
      <c r="E78" s="759"/>
      <c r="F78" s="760"/>
      <c r="G78" s="761"/>
      <c r="H78" s="762"/>
      <c r="I78" s="762">
        <v>200</v>
      </c>
      <c r="J78" s="556">
        <v>0</v>
      </c>
    </row>
    <row r="79" spans="1:10" ht="17.25" hidden="1" customHeight="1" x14ac:dyDescent="0.2">
      <c r="A79" s="518"/>
      <c r="B79" s="566" t="s">
        <v>1089</v>
      </c>
      <c r="C79" s="567"/>
      <c r="D79" s="758" t="s">
        <v>1057</v>
      </c>
      <c r="E79" s="759"/>
      <c r="F79" s="760"/>
      <c r="G79" s="761"/>
      <c r="H79" s="762"/>
      <c r="I79" s="762">
        <v>500</v>
      </c>
      <c r="J79" s="556">
        <v>0</v>
      </c>
    </row>
    <row r="80" spans="1:10" ht="17.25" hidden="1" customHeight="1" x14ac:dyDescent="0.2">
      <c r="A80" s="518"/>
      <c r="B80" s="566" t="s">
        <v>1090</v>
      </c>
      <c r="C80" s="567"/>
      <c r="D80" s="758" t="s">
        <v>1058</v>
      </c>
      <c r="E80" s="759"/>
      <c r="F80" s="760"/>
      <c r="G80" s="761"/>
      <c r="H80" s="762"/>
      <c r="I80" s="762">
        <v>4000</v>
      </c>
      <c r="J80" s="556">
        <v>0</v>
      </c>
    </row>
    <row r="81" spans="1:10" ht="17.25" hidden="1" customHeight="1" x14ac:dyDescent="0.2">
      <c r="A81" s="518"/>
      <c r="B81" s="566" t="s">
        <v>1091</v>
      </c>
      <c r="C81" s="567"/>
      <c r="D81" s="758" t="s">
        <v>1059</v>
      </c>
      <c r="E81" s="759"/>
      <c r="F81" s="760"/>
      <c r="G81" s="761"/>
      <c r="H81" s="762"/>
      <c r="I81" s="762">
        <v>1200</v>
      </c>
      <c r="J81" s="556">
        <v>0</v>
      </c>
    </row>
    <row r="82" spans="1:10" ht="17.25" hidden="1" customHeight="1" x14ac:dyDescent="0.2">
      <c r="A82" s="518"/>
      <c r="B82" s="566" t="s">
        <v>1092</v>
      </c>
      <c r="C82" s="567"/>
      <c r="D82" s="758" t="s">
        <v>1060</v>
      </c>
      <c r="E82" s="759"/>
      <c r="F82" s="760"/>
      <c r="G82" s="761"/>
      <c r="H82" s="762"/>
      <c r="I82" s="762">
        <v>2000</v>
      </c>
      <c r="J82" s="556">
        <v>0</v>
      </c>
    </row>
    <row r="83" spans="1:10" ht="17.25" hidden="1" customHeight="1" x14ac:dyDescent="0.2">
      <c r="A83" s="518"/>
      <c r="B83" s="566" t="s">
        <v>1093</v>
      </c>
      <c r="C83" s="567"/>
      <c r="D83" s="758" t="s">
        <v>832</v>
      </c>
      <c r="E83" s="759"/>
      <c r="F83" s="760"/>
      <c r="G83" s="761"/>
      <c r="H83" s="762"/>
      <c r="I83" s="762">
        <v>1000</v>
      </c>
      <c r="J83" s="556">
        <v>0</v>
      </c>
    </row>
    <row r="84" spans="1:10" ht="17.25" hidden="1" customHeight="1" x14ac:dyDescent="0.2">
      <c r="A84" s="518"/>
      <c r="B84" s="566" t="s">
        <v>1094</v>
      </c>
      <c r="C84" s="567"/>
      <c r="D84" s="758" t="s">
        <v>1061</v>
      </c>
      <c r="E84" s="759"/>
      <c r="F84" s="760"/>
      <c r="G84" s="761"/>
      <c r="H84" s="762"/>
      <c r="I84" s="762">
        <v>500</v>
      </c>
      <c r="J84" s="556">
        <v>0</v>
      </c>
    </row>
    <row r="85" spans="1:10" ht="17.25" hidden="1" customHeight="1" x14ac:dyDescent="0.2">
      <c r="A85" s="518"/>
      <c r="B85" s="566" t="s">
        <v>1095</v>
      </c>
      <c r="C85" s="567"/>
      <c r="D85" s="758" t="s">
        <v>1062</v>
      </c>
      <c r="E85" s="759"/>
      <c r="F85" s="760"/>
      <c r="G85" s="761"/>
      <c r="H85" s="762"/>
      <c r="I85" s="762">
        <v>1000</v>
      </c>
      <c r="J85" s="556">
        <v>0</v>
      </c>
    </row>
    <row r="86" spans="1:10" ht="21.75" hidden="1" customHeight="1" x14ac:dyDescent="0.2">
      <c r="A86" s="518"/>
      <c r="B86" s="566" t="s">
        <v>1096</v>
      </c>
      <c r="C86" s="567"/>
      <c r="D86" s="758" t="s">
        <v>833</v>
      </c>
      <c r="E86" s="759"/>
      <c r="F86" s="760"/>
      <c r="G86" s="761"/>
      <c r="H86" s="762"/>
      <c r="I86" s="762">
        <v>1000</v>
      </c>
      <c r="J86" s="556">
        <v>0</v>
      </c>
    </row>
    <row r="87" spans="1:10" ht="17.25" hidden="1" customHeight="1" x14ac:dyDescent="0.2">
      <c r="A87" s="518"/>
      <c r="B87" s="566" t="s">
        <v>1097</v>
      </c>
      <c r="C87" s="567"/>
      <c r="D87" s="758" t="s">
        <v>1063</v>
      </c>
      <c r="E87" s="759"/>
      <c r="F87" s="760"/>
      <c r="G87" s="761"/>
      <c r="H87" s="762"/>
      <c r="I87" s="762">
        <v>1550</v>
      </c>
      <c r="J87" s="556">
        <v>0</v>
      </c>
    </row>
    <row r="88" spans="1:10" ht="17.25" hidden="1" customHeight="1" x14ac:dyDescent="0.2">
      <c r="A88" s="518"/>
      <c r="B88" s="566" t="s">
        <v>1098</v>
      </c>
      <c r="C88" s="567"/>
      <c r="D88" s="758" t="s">
        <v>1064</v>
      </c>
      <c r="E88" s="759"/>
      <c r="F88" s="760"/>
      <c r="G88" s="761"/>
      <c r="H88" s="762"/>
      <c r="I88" s="762">
        <v>4000</v>
      </c>
      <c r="J88" s="556">
        <v>0</v>
      </c>
    </row>
    <row r="89" spans="1:10" ht="17.25" customHeight="1" x14ac:dyDescent="0.2">
      <c r="A89" s="518"/>
      <c r="B89" s="1575" t="s">
        <v>818</v>
      </c>
      <c r="C89" s="1575"/>
      <c r="D89" s="525" t="s">
        <v>835</v>
      </c>
      <c r="E89" s="526"/>
      <c r="F89" s="558"/>
      <c r="G89" s="555"/>
      <c r="H89" s="556"/>
      <c r="I89" s="556">
        <v>1000</v>
      </c>
      <c r="J89" s="556">
        <v>1000</v>
      </c>
    </row>
    <row r="90" spans="1:10" ht="17.25" customHeight="1" x14ac:dyDescent="0.2">
      <c r="A90" s="518"/>
      <c r="B90" s="1575" t="s">
        <v>820</v>
      </c>
      <c r="C90" s="1575"/>
      <c r="D90" s="525" t="s">
        <v>838</v>
      </c>
      <c r="E90" s="526"/>
      <c r="F90" s="558"/>
      <c r="G90" s="555">
        <v>1500</v>
      </c>
      <c r="H90" s="556">
        <v>1700</v>
      </c>
      <c r="I90" s="762">
        <v>1000</v>
      </c>
      <c r="J90" s="556">
        <v>1000</v>
      </c>
    </row>
    <row r="91" spans="1:10" ht="17.25" customHeight="1" x14ac:dyDescent="0.2">
      <c r="A91" s="518"/>
      <c r="B91" s="1575" t="s">
        <v>828</v>
      </c>
      <c r="C91" s="1575"/>
      <c r="D91" s="525" t="s">
        <v>840</v>
      </c>
      <c r="E91" s="526"/>
      <c r="F91" s="555"/>
      <c r="G91" s="555">
        <v>1000</v>
      </c>
      <c r="H91" s="556">
        <v>1000</v>
      </c>
      <c r="I91" s="556">
        <v>1500</v>
      </c>
      <c r="J91" s="556">
        <v>1500</v>
      </c>
    </row>
    <row r="92" spans="1:10" ht="17.25" customHeight="1" x14ac:dyDescent="0.2">
      <c r="A92" s="518"/>
      <c r="B92" s="1575" t="s">
        <v>834</v>
      </c>
      <c r="C92" s="1575"/>
      <c r="D92" s="525" t="s">
        <v>841</v>
      </c>
      <c r="E92" s="526"/>
      <c r="F92" s="555"/>
      <c r="G92" s="558"/>
      <c r="H92" s="556">
        <v>0</v>
      </c>
      <c r="I92" s="556">
        <v>500</v>
      </c>
      <c r="J92" s="556">
        <v>500</v>
      </c>
    </row>
    <row r="93" spans="1:10" ht="30" customHeight="1" x14ac:dyDescent="0.2">
      <c r="A93" s="568"/>
      <c r="B93" s="1575" t="s">
        <v>836</v>
      </c>
      <c r="C93" s="1575"/>
      <c r="D93" s="773" t="s">
        <v>844</v>
      </c>
      <c r="E93" s="774"/>
      <c r="F93" s="775"/>
      <c r="G93" s="775"/>
      <c r="H93" s="776"/>
      <c r="I93" s="777">
        <v>525</v>
      </c>
      <c r="J93" s="1055">
        <v>525</v>
      </c>
    </row>
    <row r="94" spans="1:10" ht="30" customHeight="1" x14ac:dyDescent="0.2">
      <c r="A94" s="518"/>
      <c r="B94" s="1575" t="s">
        <v>837</v>
      </c>
      <c r="C94" s="1575"/>
      <c r="D94" s="778" t="s">
        <v>846</v>
      </c>
      <c r="E94" s="759"/>
      <c r="F94" s="761"/>
      <c r="G94" s="761"/>
      <c r="H94" s="760"/>
      <c r="I94" s="762">
        <v>48000</v>
      </c>
      <c r="J94" s="1055">
        <v>38215</v>
      </c>
    </row>
    <row r="95" spans="1:10" ht="17.25" customHeight="1" x14ac:dyDescent="0.2">
      <c r="A95" s="569"/>
      <c r="B95" s="1575" t="s">
        <v>839</v>
      </c>
      <c r="C95" s="1575"/>
      <c r="D95" s="570" t="s">
        <v>849</v>
      </c>
      <c r="E95" s="571"/>
      <c r="F95" s="572"/>
      <c r="G95" s="572"/>
      <c r="H95" s="571"/>
      <c r="I95" s="571">
        <v>1000</v>
      </c>
      <c r="J95" s="1056">
        <v>1000</v>
      </c>
    </row>
    <row r="96" spans="1:10" ht="17.25" customHeight="1" x14ac:dyDescent="0.2">
      <c r="A96" s="569"/>
      <c r="B96" s="1575" t="s">
        <v>1099</v>
      </c>
      <c r="C96" s="1575"/>
      <c r="D96" s="765" t="s">
        <v>853</v>
      </c>
      <c r="E96" s="766"/>
      <c r="F96" s="767"/>
      <c r="G96" s="767"/>
      <c r="H96" s="766"/>
      <c r="I96" s="766">
        <v>5000</v>
      </c>
      <c r="J96" s="1056">
        <v>5000</v>
      </c>
    </row>
    <row r="97" spans="1:10" ht="17.25" customHeight="1" x14ac:dyDescent="0.2">
      <c r="A97" s="569"/>
      <c r="B97" s="1575" t="s">
        <v>842</v>
      </c>
      <c r="C97" s="1575"/>
      <c r="D97" s="765" t="s">
        <v>854</v>
      </c>
      <c r="E97" s="766"/>
      <c r="F97" s="767"/>
      <c r="G97" s="767"/>
      <c r="H97" s="766"/>
      <c r="I97" s="766">
        <v>3000</v>
      </c>
      <c r="J97" s="1056">
        <v>3000</v>
      </c>
    </row>
    <row r="98" spans="1:10" ht="17.25" customHeight="1" x14ac:dyDescent="0.2">
      <c r="A98" s="569"/>
      <c r="B98" s="1575" t="s">
        <v>843</v>
      </c>
      <c r="C98" s="1575"/>
      <c r="D98" s="765" t="s">
        <v>1429</v>
      </c>
      <c r="E98" s="766"/>
      <c r="F98" s="767"/>
      <c r="G98" s="767"/>
      <c r="H98" s="766"/>
      <c r="I98" s="766"/>
      <c r="J98" s="1056">
        <v>525</v>
      </c>
    </row>
    <row r="99" spans="1:10" ht="17.25" customHeight="1" x14ac:dyDescent="0.2">
      <c r="A99" s="569"/>
      <c r="B99" s="1575" t="s">
        <v>845</v>
      </c>
      <c r="C99" s="1575"/>
      <c r="D99" s="765" t="s">
        <v>855</v>
      </c>
      <c r="E99" s="766"/>
      <c r="F99" s="767"/>
      <c r="G99" s="767"/>
      <c r="H99" s="766"/>
      <c r="I99" s="766">
        <v>5000</v>
      </c>
      <c r="J99" s="1056">
        <v>0</v>
      </c>
    </row>
    <row r="100" spans="1:10" ht="17.25" customHeight="1" x14ac:dyDescent="0.2">
      <c r="A100" s="569"/>
      <c r="B100" s="1575" t="s">
        <v>847</v>
      </c>
      <c r="C100" s="1575"/>
      <c r="D100" s="570" t="s">
        <v>1029</v>
      </c>
      <c r="E100" s="571"/>
      <c r="F100" s="572"/>
      <c r="G100" s="572"/>
      <c r="H100" s="571"/>
      <c r="I100" s="571">
        <v>1000</v>
      </c>
      <c r="J100" s="1056">
        <v>1000</v>
      </c>
    </row>
    <row r="101" spans="1:10" s="577" customFormat="1" ht="17.25" customHeight="1" x14ac:dyDescent="0.2">
      <c r="A101" s="573"/>
      <c r="B101" s="1575" t="s">
        <v>848</v>
      </c>
      <c r="C101" s="1575"/>
      <c r="D101" s="574" t="s">
        <v>1332</v>
      </c>
      <c r="E101" s="575"/>
      <c r="F101" s="576"/>
      <c r="G101" s="576"/>
      <c r="H101" s="575"/>
      <c r="I101" s="575"/>
      <c r="J101" s="1056"/>
    </row>
    <row r="102" spans="1:10" s="577" customFormat="1" ht="17.25" hidden="1" customHeight="1" x14ac:dyDescent="0.2">
      <c r="A102" s="573"/>
      <c r="B102" s="1575" t="s">
        <v>850</v>
      </c>
      <c r="C102" s="1575"/>
      <c r="D102" s="770"/>
      <c r="E102" s="771"/>
      <c r="F102" s="772"/>
      <c r="G102" s="772"/>
      <c r="H102" s="771"/>
      <c r="I102" s="771">
        <v>0</v>
      </c>
      <c r="J102" s="1056"/>
    </row>
    <row r="103" spans="1:10" s="577" customFormat="1" ht="17.25" customHeight="1" x14ac:dyDescent="0.2">
      <c r="A103" s="573"/>
      <c r="B103" s="1575" t="s">
        <v>851</v>
      </c>
      <c r="C103" s="1575"/>
      <c r="D103" s="574" t="s">
        <v>1031</v>
      </c>
      <c r="E103" s="575"/>
      <c r="F103" s="576"/>
      <c r="G103" s="576"/>
      <c r="H103" s="575"/>
      <c r="I103" s="575">
        <v>2780</v>
      </c>
      <c r="J103" s="1056">
        <v>2780</v>
      </c>
    </row>
    <row r="104" spans="1:10" s="577" customFormat="1" ht="15" x14ac:dyDescent="0.2">
      <c r="A104" s="573"/>
      <c r="B104" s="1575" t="s">
        <v>852</v>
      </c>
      <c r="C104" s="1575"/>
      <c r="D104" s="574" t="s">
        <v>1038</v>
      </c>
      <c r="E104" s="575"/>
      <c r="F104" s="576"/>
      <c r="G104" s="576"/>
      <c r="H104" s="575"/>
      <c r="I104" s="575">
        <v>30000</v>
      </c>
      <c r="J104" s="575"/>
    </row>
    <row r="105" spans="1:10" s="577" customFormat="1" ht="17.25" customHeight="1" x14ac:dyDescent="0.2">
      <c r="A105" s="573"/>
      <c r="B105" s="1575" t="s">
        <v>1267</v>
      </c>
      <c r="C105" s="1575"/>
      <c r="D105" s="574" t="s">
        <v>1423</v>
      </c>
      <c r="E105" s="575"/>
      <c r="F105" s="576"/>
      <c r="G105" s="576"/>
      <c r="H105" s="575"/>
      <c r="I105" s="575"/>
      <c r="J105" s="575">
        <v>2000</v>
      </c>
    </row>
    <row r="106" spans="1:10" s="577" customFormat="1" ht="17.25" customHeight="1" x14ac:dyDescent="0.2">
      <c r="A106" s="573"/>
      <c r="B106" s="1575" t="s">
        <v>1268</v>
      </c>
      <c r="C106" s="1575"/>
      <c r="D106" s="574" t="s">
        <v>1424</v>
      </c>
      <c r="E106" s="575"/>
      <c r="F106" s="576"/>
      <c r="G106" s="576"/>
      <c r="H106" s="575"/>
      <c r="I106" s="575"/>
      <c r="J106" s="575">
        <v>15000</v>
      </c>
    </row>
    <row r="107" spans="1:10" s="577" customFormat="1" ht="17.25" customHeight="1" x14ac:dyDescent="0.2">
      <c r="A107" s="573"/>
      <c r="B107" s="1575" t="s">
        <v>1269</v>
      </c>
      <c r="C107" s="1575"/>
      <c r="D107" s="574"/>
      <c r="E107" s="575"/>
      <c r="F107" s="576"/>
      <c r="G107" s="576"/>
      <c r="H107" s="575"/>
      <c r="I107" s="575"/>
      <c r="J107" s="1054"/>
    </row>
    <row r="108" spans="1:10" s="577" customFormat="1" ht="17.25" customHeight="1" x14ac:dyDescent="0.2">
      <c r="A108" s="573"/>
      <c r="B108" s="1575" t="s">
        <v>1270</v>
      </c>
      <c r="C108" s="1575"/>
      <c r="D108" s="574"/>
      <c r="E108" s="575"/>
      <c r="F108" s="576"/>
      <c r="G108" s="576"/>
      <c r="H108" s="575"/>
      <c r="I108" s="575"/>
      <c r="J108" s="575"/>
    </row>
    <row r="109" spans="1:10" s="577" customFormat="1" ht="17.25" customHeight="1" x14ac:dyDescent="0.2">
      <c r="A109" s="573"/>
      <c r="B109" s="1575" t="s">
        <v>1271</v>
      </c>
      <c r="C109" s="1575"/>
      <c r="D109" s="574"/>
      <c r="E109" s="575"/>
      <c r="F109" s="576"/>
      <c r="G109" s="576"/>
      <c r="H109" s="575"/>
      <c r="I109" s="575"/>
      <c r="J109" s="575"/>
    </row>
    <row r="110" spans="1:10" s="577" customFormat="1" ht="17.25" customHeight="1" x14ac:dyDescent="0.2">
      <c r="A110" s="1031"/>
      <c r="B110" s="1575" t="s">
        <v>1416</v>
      </c>
      <c r="C110" s="1575"/>
      <c r="D110" s="1032"/>
      <c r="E110" s="1033"/>
      <c r="F110" s="1034"/>
      <c r="G110" s="1034"/>
      <c r="H110" s="1033"/>
      <c r="I110" s="1033"/>
      <c r="J110" s="1033"/>
    </row>
    <row r="111" spans="1:10" ht="21" customHeight="1" x14ac:dyDescent="0.2">
      <c r="A111" s="578"/>
      <c r="B111" s="579"/>
      <c r="C111" s="580"/>
      <c r="D111" s="581" t="s">
        <v>856</v>
      </c>
      <c r="E111" s="582" t="e">
        <f t="shared" ref="E111:I111" si="1">SUM(E46+E28+E2)</f>
        <v>#REF!</v>
      </c>
      <c r="F111" s="582" t="e">
        <f t="shared" si="1"/>
        <v>#REF!</v>
      </c>
      <c r="G111" s="582" t="e">
        <f t="shared" si="1"/>
        <v>#REF!</v>
      </c>
      <c r="H111" s="582" t="e">
        <f t="shared" si="1"/>
        <v>#REF!</v>
      </c>
      <c r="I111" s="582">
        <f t="shared" si="1"/>
        <v>143605</v>
      </c>
      <c r="J111" s="582">
        <f>SUM(J46+J28+J2)+J110</f>
        <v>96425</v>
      </c>
    </row>
    <row r="112" spans="1:10" ht="14.25" x14ac:dyDescent="0.2">
      <c r="A112" s="193"/>
      <c r="B112" s="412"/>
      <c r="C112" s="412"/>
      <c r="D112" s="193"/>
      <c r="E112" s="583"/>
      <c r="F112" s="583"/>
    </row>
    <row r="113" spans="1:10" ht="14.25" x14ac:dyDescent="0.2">
      <c r="A113" s="193"/>
      <c r="B113" s="412"/>
      <c r="C113" s="412"/>
      <c r="D113" s="193"/>
      <c r="E113" s="583"/>
      <c r="F113" s="583"/>
    </row>
    <row r="114" spans="1:10" ht="14.25" x14ac:dyDescent="0.2">
      <c r="A114" s="193"/>
      <c r="B114" s="412"/>
      <c r="C114" s="412"/>
      <c r="D114" s="193"/>
      <c r="E114" s="583"/>
      <c r="F114" s="583"/>
    </row>
    <row r="115" spans="1:10" ht="14.25" x14ac:dyDescent="0.2">
      <c r="A115" s="193"/>
      <c r="B115" s="193"/>
      <c r="C115" s="193"/>
      <c r="D115" s="193"/>
      <c r="E115" s="583"/>
      <c r="F115" s="583"/>
      <c r="G115" s="216" t="e">
        <f>SUM(G111+#REF!)</f>
        <v>#REF!</v>
      </c>
      <c r="H115" s="216"/>
      <c r="I115" s="216"/>
      <c r="J115" s="216"/>
    </row>
    <row r="116" spans="1:10" ht="14.25" x14ac:dyDescent="0.2">
      <c r="A116" s="193"/>
      <c r="B116" s="193"/>
      <c r="C116" s="193"/>
      <c r="D116" s="193"/>
      <c r="E116" s="583"/>
      <c r="F116" s="583"/>
    </row>
    <row r="117" spans="1:10" ht="14.25" x14ac:dyDescent="0.2">
      <c r="D117" s="193"/>
      <c r="E117" s="583"/>
      <c r="F117" s="583"/>
    </row>
    <row r="118" spans="1:10" ht="14.25" x14ac:dyDescent="0.2">
      <c r="D118" s="193"/>
      <c r="E118" s="583"/>
      <c r="F118" s="583"/>
    </row>
    <row r="119" spans="1:10" ht="14.25" x14ac:dyDescent="0.2">
      <c r="D119" s="193"/>
      <c r="E119" s="583"/>
      <c r="F119" s="583"/>
    </row>
    <row r="120" spans="1:10" ht="14.25" x14ac:dyDescent="0.2">
      <c r="D120" s="193"/>
      <c r="E120" s="583"/>
      <c r="F120" s="583"/>
    </row>
    <row r="121" spans="1:10" ht="14.25" x14ac:dyDescent="0.2">
      <c r="D121" s="193"/>
      <c r="E121" s="583"/>
      <c r="F121" s="583"/>
    </row>
    <row r="122" spans="1:10" ht="14.25" x14ac:dyDescent="0.2">
      <c r="D122" s="193"/>
      <c r="E122" s="583"/>
      <c r="F122" s="583"/>
    </row>
    <row r="123" spans="1:10" ht="14.25" x14ac:dyDescent="0.2">
      <c r="D123" s="193"/>
      <c r="E123" s="583"/>
      <c r="F123" s="583"/>
    </row>
    <row r="124" spans="1:10" ht="14.25" x14ac:dyDescent="0.2">
      <c r="D124" s="193"/>
      <c r="E124" s="583"/>
      <c r="F124" s="583"/>
    </row>
    <row r="125" spans="1:10" ht="14.25" x14ac:dyDescent="0.2">
      <c r="D125" s="193"/>
      <c r="E125" s="583"/>
      <c r="F125" s="583"/>
    </row>
    <row r="126" spans="1:10" ht="14.25" x14ac:dyDescent="0.2">
      <c r="D126" s="193"/>
      <c r="E126" s="583"/>
      <c r="F126" s="583"/>
    </row>
    <row r="127" spans="1:10" ht="14.25" x14ac:dyDescent="0.2">
      <c r="D127" s="193"/>
      <c r="E127" s="583"/>
      <c r="F127" s="583"/>
    </row>
    <row r="128" spans="1:10" ht="14.25" x14ac:dyDescent="0.2">
      <c r="D128" s="193"/>
      <c r="E128" s="583"/>
      <c r="F128" s="583"/>
    </row>
    <row r="129" spans="4:6" ht="14.25" x14ac:dyDescent="0.2">
      <c r="D129" s="193"/>
      <c r="E129" s="583"/>
      <c r="F129" s="583"/>
    </row>
    <row r="130" spans="4:6" ht="14.25" x14ac:dyDescent="0.2">
      <c r="D130" s="193"/>
      <c r="E130" s="583"/>
      <c r="F130" s="583"/>
    </row>
    <row r="131" spans="4:6" ht="14.25" x14ac:dyDescent="0.2">
      <c r="D131" s="193"/>
      <c r="E131" s="583"/>
      <c r="F131" s="583"/>
    </row>
    <row r="132" spans="4:6" ht="14.25" x14ac:dyDescent="0.2">
      <c r="D132" s="193"/>
      <c r="E132" s="583"/>
      <c r="F132" s="583"/>
    </row>
    <row r="133" spans="4:6" ht="14.25" x14ac:dyDescent="0.2">
      <c r="D133" s="193"/>
      <c r="E133" s="583"/>
      <c r="F133" s="583"/>
    </row>
    <row r="134" spans="4:6" ht="14.25" x14ac:dyDescent="0.2">
      <c r="D134" s="193"/>
      <c r="E134" s="583"/>
      <c r="F134" s="583"/>
    </row>
    <row r="135" spans="4:6" ht="14.25" x14ac:dyDescent="0.2">
      <c r="D135" s="193"/>
      <c r="E135" s="583"/>
      <c r="F135" s="583"/>
    </row>
    <row r="136" spans="4:6" ht="14.25" x14ac:dyDescent="0.2">
      <c r="D136" s="193"/>
      <c r="E136" s="583"/>
      <c r="F136" s="583"/>
    </row>
    <row r="137" spans="4:6" ht="14.25" x14ac:dyDescent="0.2">
      <c r="D137" s="193"/>
      <c r="E137" s="583"/>
      <c r="F137" s="583"/>
    </row>
    <row r="138" spans="4:6" ht="14.25" x14ac:dyDescent="0.2">
      <c r="D138" s="193"/>
      <c r="E138" s="583"/>
      <c r="F138" s="583"/>
    </row>
    <row r="139" spans="4:6" ht="14.25" x14ac:dyDescent="0.2">
      <c r="D139" s="193"/>
      <c r="E139" s="583"/>
      <c r="F139" s="583"/>
    </row>
    <row r="140" spans="4:6" ht="14.25" x14ac:dyDescent="0.2">
      <c r="D140" s="193"/>
      <c r="E140" s="583"/>
      <c r="F140" s="583"/>
    </row>
    <row r="141" spans="4:6" ht="14.25" x14ac:dyDescent="0.2">
      <c r="D141" s="193"/>
      <c r="E141" s="583"/>
      <c r="F141" s="583"/>
    </row>
    <row r="142" spans="4:6" ht="14.25" x14ac:dyDescent="0.2">
      <c r="D142" s="193"/>
      <c r="E142" s="583"/>
      <c r="F142" s="583"/>
    </row>
    <row r="143" spans="4:6" ht="14.25" x14ac:dyDescent="0.2">
      <c r="D143" s="193"/>
      <c r="E143" s="583"/>
      <c r="F143" s="583"/>
    </row>
    <row r="144" spans="4:6" ht="14.25" x14ac:dyDescent="0.2">
      <c r="D144" s="193"/>
      <c r="E144" s="583"/>
      <c r="F144" s="583"/>
    </row>
    <row r="145" spans="4:6" ht="14.25" x14ac:dyDescent="0.2">
      <c r="D145" s="193"/>
      <c r="E145" s="583"/>
      <c r="F145" s="583"/>
    </row>
    <row r="146" spans="4:6" ht="14.25" x14ac:dyDescent="0.2">
      <c r="D146" s="193"/>
      <c r="E146" s="583"/>
      <c r="F146" s="583"/>
    </row>
    <row r="147" spans="4:6" ht="14.25" x14ac:dyDescent="0.2">
      <c r="D147" s="193"/>
      <c r="E147" s="583"/>
      <c r="F147" s="583"/>
    </row>
    <row r="148" spans="4:6" ht="14.25" x14ac:dyDescent="0.2">
      <c r="D148" s="193"/>
      <c r="E148" s="583"/>
      <c r="F148" s="583"/>
    </row>
    <row r="149" spans="4:6" ht="14.25" x14ac:dyDescent="0.2">
      <c r="D149" s="193"/>
      <c r="E149" s="583"/>
      <c r="F149" s="583"/>
    </row>
    <row r="150" spans="4:6" ht="14.25" x14ac:dyDescent="0.2">
      <c r="D150" s="193"/>
      <c r="E150" s="583"/>
      <c r="F150" s="583"/>
    </row>
    <row r="151" spans="4:6" ht="14.25" x14ac:dyDescent="0.2">
      <c r="D151" s="193"/>
      <c r="E151" s="583"/>
      <c r="F151" s="583"/>
    </row>
    <row r="152" spans="4:6" ht="14.25" x14ac:dyDescent="0.2">
      <c r="D152" s="193"/>
      <c r="E152" s="583"/>
      <c r="F152" s="583"/>
    </row>
    <row r="153" spans="4:6" ht="14.25" x14ac:dyDescent="0.2">
      <c r="D153" s="193"/>
      <c r="E153" s="583"/>
      <c r="F153" s="583"/>
    </row>
    <row r="154" spans="4:6" ht="14.25" x14ac:dyDescent="0.2">
      <c r="D154" s="193"/>
      <c r="E154" s="583"/>
      <c r="F154" s="583"/>
    </row>
    <row r="155" spans="4:6" ht="14.25" x14ac:dyDescent="0.2">
      <c r="D155" s="193"/>
      <c r="E155" s="583"/>
      <c r="F155" s="583"/>
    </row>
    <row r="156" spans="4:6" ht="14.25" x14ac:dyDescent="0.2">
      <c r="D156" s="193"/>
      <c r="E156" s="583"/>
      <c r="F156" s="583"/>
    </row>
    <row r="157" spans="4:6" ht="14.25" x14ac:dyDescent="0.2">
      <c r="D157" s="193"/>
      <c r="E157" s="583"/>
      <c r="F157" s="583"/>
    </row>
    <row r="158" spans="4:6" ht="14.25" x14ac:dyDescent="0.2">
      <c r="D158" s="193"/>
      <c r="E158" s="583"/>
      <c r="F158" s="583"/>
    </row>
    <row r="159" spans="4:6" ht="14.25" x14ac:dyDescent="0.2">
      <c r="D159" s="193"/>
      <c r="E159" s="583"/>
      <c r="F159" s="583"/>
    </row>
    <row r="160" spans="4:6" ht="14.25" x14ac:dyDescent="0.2">
      <c r="D160" s="193"/>
      <c r="E160" s="583"/>
      <c r="F160" s="583"/>
    </row>
    <row r="161" spans="4:6" ht="14.25" x14ac:dyDescent="0.2">
      <c r="D161" s="193"/>
      <c r="E161" s="583"/>
      <c r="F161" s="583"/>
    </row>
    <row r="162" spans="4:6" ht="14.25" x14ac:dyDescent="0.2">
      <c r="D162" s="193"/>
      <c r="E162" s="583"/>
      <c r="F162" s="583"/>
    </row>
    <row r="163" spans="4:6" ht="14.25" x14ac:dyDescent="0.2">
      <c r="D163" s="193"/>
      <c r="E163" s="583"/>
      <c r="F163" s="583"/>
    </row>
    <row r="164" spans="4:6" ht="14.25" x14ac:dyDescent="0.2">
      <c r="D164" s="193"/>
      <c r="E164" s="583"/>
      <c r="F164" s="583"/>
    </row>
    <row r="165" spans="4:6" ht="14.25" x14ac:dyDescent="0.2">
      <c r="D165" s="193"/>
      <c r="E165" s="583"/>
      <c r="F165" s="583"/>
    </row>
    <row r="166" spans="4:6" ht="14.25" x14ac:dyDescent="0.2">
      <c r="D166" s="193"/>
      <c r="E166" s="583"/>
      <c r="F166" s="583"/>
    </row>
    <row r="167" spans="4:6" ht="14.25" x14ac:dyDescent="0.2">
      <c r="D167" s="193"/>
      <c r="E167" s="583"/>
      <c r="F167" s="583"/>
    </row>
    <row r="168" spans="4:6" ht="14.25" x14ac:dyDescent="0.2">
      <c r="D168" s="193"/>
      <c r="E168" s="583"/>
      <c r="F168" s="583"/>
    </row>
    <row r="169" spans="4:6" ht="14.25" x14ac:dyDescent="0.2">
      <c r="D169" s="193"/>
      <c r="E169" s="583"/>
      <c r="F169" s="583"/>
    </row>
    <row r="170" spans="4:6" ht="14.25" x14ac:dyDescent="0.2">
      <c r="D170" s="193"/>
      <c r="E170" s="583"/>
      <c r="F170" s="583"/>
    </row>
    <row r="171" spans="4:6" ht="14.25" x14ac:dyDescent="0.2">
      <c r="E171" s="583"/>
      <c r="F171" s="583"/>
    </row>
    <row r="172" spans="4:6" ht="14.25" x14ac:dyDescent="0.2">
      <c r="E172" s="583"/>
      <c r="F172" s="583"/>
    </row>
    <row r="173" spans="4:6" ht="14.25" x14ac:dyDescent="0.2">
      <c r="E173" s="583"/>
      <c r="F173" s="583"/>
    </row>
    <row r="174" spans="4:6" ht="14.25" x14ac:dyDescent="0.2">
      <c r="E174" s="583"/>
      <c r="F174" s="583"/>
    </row>
    <row r="175" spans="4:6" ht="14.25" x14ac:dyDescent="0.2">
      <c r="E175" s="583"/>
      <c r="F175" s="583"/>
    </row>
    <row r="176" spans="4:6" ht="14.25" x14ac:dyDescent="0.2">
      <c r="E176" s="583"/>
      <c r="F176" s="583"/>
    </row>
    <row r="177" spans="5:6" ht="14.25" x14ac:dyDescent="0.2">
      <c r="E177" s="583"/>
      <c r="F177" s="583"/>
    </row>
    <row r="178" spans="5:6" ht="14.25" x14ac:dyDescent="0.2">
      <c r="E178" s="583"/>
      <c r="F178" s="583"/>
    </row>
    <row r="179" spans="5:6" ht="14.25" x14ac:dyDescent="0.2">
      <c r="E179" s="583"/>
      <c r="F179" s="583"/>
    </row>
    <row r="180" spans="5:6" ht="14.25" x14ac:dyDescent="0.2">
      <c r="E180" s="583"/>
      <c r="F180" s="583"/>
    </row>
    <row r="181" spans="5:6" ht="14.25" x14ac:dyDescent="0.2">
      <c r="E181" s="583"/>
      <c r="F181" s="583"/>
    </row>
    <row r="182" spans="5:6" ht="14.25" x14ac:dyDescent="0.2">
      <c r="E182" s="583"/>
      <c r="F182" s="583"/>
    </row>
    <row r="183" spans="5:6" ht="14.25" x14ac:dyDescent="0.2">
      <c r="E183" s="583"/>
      <c r="F183" s="583"/>
    </row>
    <row r="184" spans="5:6" ht="14.25" x14ac:dyDescent="0.2">
      <c r="E184" s="583"/>
      <c r="F184" s="583"/>
    </row>
    <row r="185" spans="5:6" ht="14.25" x14ac:dyDescent="0.2">
      <c r="E185" s="583"/>
      <c r="F185" s="583"/>
    </row>
    <row r="186" spans="5:6" ht="14.25" x14ac:dyDescent="0.2">
      <c r="E186" s="583"/>
      <c r="F186" s="583"/>
    </row>
    <row r="187" spans="5:6" ht="14.25" x14ac:dyDescent="0.2">
      <c r="E187" s="583"/>
      <c r="F187" s="583"/>
    </row>
    <row r="188" spans="5:6" ht="14.25" x14ac:dyDescent="0.2">
      <c r="E188" s="583"/>
      <c r="F188" s="583"/>
    </row>
    <row r="189" spans="5:6" ht="14.25" x14ac:dyDescent="0.2">
      <c r="E189" s="583"/>
      <c r="F189" s="583"/>
    </row>
    <row r="190" spans="5:6" ht="14.25" x14ac:dyDescent="0.2">
      <c r="E190" s="583"/>
      <c r="F190" s="583"/>
    </row>
    <row r="191" spans="5:6" ht="14.25" x14ac:dyDescent="0.2">
      <c r="E191" s="583"/>
      <c r="F191" s="583"/>
    </row>
    <row r="192" spans="5:6" ht="14.25" x14ac:dyDescent="0.2">
      <c r="E192" s="583"/>
      <c r="F192" s="583"/>
    </row>
    <row r="193" spans="5:6" ht="14.25" x14ac:dyDescent="0.2">
      <c r="E193" s="583"/>
      <c r="F193" s="583"/>
    </row>
    <row r="194" spans="5:6" ht="14.25" x14ac:dyDescent="0.2">
      <c r="E194" s="583"/>
      <c r="F194" s="583"/>
    </row>
    <row r="195" spans="5:6" ht="14.25" x14ac:dyDescent="0.2">
      <c r="E195" s="583"/>
      <c r="F195" s="583"/>
    </row>
    <row r="196" spans="5:6" ht="14.25" x14ac:dyDescent="0.2">
      <c r="E196" s="583"/>
      <c r="F196" s="583"/>
    </row>
    <row r="197" spans="5:6" ht="14.25" x14ac:dyDescent="0.2">
      <c r="E197" s="583"/>
      <c r="F197" s="583"/>
    </row>
    <row r="198" spans="5:6" ht="14.25" x14ac:dyDescent="0.2">
      <c r="E198" s="583"/>
      <c r="F198" s="583"/>
    </row>
    <row r="199" spans="5:6" ht="14.25" x14ac:dyDescent="0.2">
      <c r="E199" s="583"/>
      <c r="F199" s="583"/>
    </row>
    <row r="200" spans="5:6" ht="14.25" x14ac:dyDescent="0.2">
      <c r="E200" s="583"/>
      <c r="F200" s="583"/>
    </row>
    <row r="201" spans="5:6" ht="14.25" x14ac:dyDescent="0.2">
      <c r="E201" s="583"/>
      <c r="F201" s="583"/>
    </row>
    <row r="202" spans="5:6" ht="14.25" x14ac:dyDescent="0.2">
      <c r="E202" s="583"/>
      <c r="F202" s="583"/>
    </row>
    <row r="203" spans="5:6" ht="14.25" x14ac:dyDescent="0.2">
      <c r="E203" s="583"/>
      <c r="F203" s="583"/>
    </row>
    <row r="204" spans="5:6" ht="14.25" x14ac:dyDescent="0.2">
      <c r="E204" s="583"/>
      <c r="F204" s="583"/>
    </row>
    <row r="205" spans="5:6" ht="14.25" x14ac:dyDescent="0.2">
      <c r="E205" s="583"/>
      <c r="F205" s="583"/>
    </row>
    <row r="206" spans="5:6" ht="14.25" x14ac:dyDescent="0.2">
      <c r="E206" s="583"/>
      <c r="F206" s="583"/>
    </row>
    <row r="207" spans="5:6" ht="14.25" x14ac:dyDescent="0.2">
      <c r="E207" s="583"/>
      <c r="F207" s="583"/>
    </row>
    <row r="208" spans="5:6" ht="14.25" x14ac:dyDescent="0.2">
      <c r="E208" s="583"/>
      <c r="F208" s="583"/>
    </row>
    <row r="209" spans="5:6" ht="14.25" x14ac:dyDescent="0.2">
      <c r="E209" s="583"/>
      <c r="F209" s="583"/>
    </row>
    <row r="210" spans="5:6" ht="14.25" x14ac:dyDescent="0.2">
      <c r="E210" s="583"/>
      <c r="F210" s="583"/>
    </row>
    <row r="211" spans="5:6" ht="14.25" x14ac:dyDescent="0.2">
      <c r="E211" s="583"/>
      <c r="F211" s="583"/>
    </row>
    <row r="212" spans="5:6" ht="14.25" x14ac:dyDescent="0.2">
      <c r="E212" s="583"/>
      <c r="F212" s="583"/>
    </row>
    <row r="213" spans="5:6" ht="14.25" x14ac:dyDescent="0.2">
      <c r="E213" s="583"/>
      <c r="F213" s="583"/>
    </row>
    <row r="214" spans="5:6" ht="14.25" x14ac:dyDescent="0.2">
      <c r="E214" s="583"/>
      <c r="F214" s="583"/>
    </row>
    <row r="215" spans="5:6" ht="14.25" x14ac:dyDescent="0.2">
      <c r="E215" s="583"/>
      <c r="F215" s="583"/>
    </row>
    <row r="216" spans="5:6" ht="14.25" x14ac:dyDescent="0.2">
      <c r="E216" s="583"/>
      <c r="F216" s="583"/>
    </row>
    <row r="217" spans="5:6" ht="14.25" x14ac:dyDescent="0.2">
      <c r="E217" s="583"/>
      <c r="F217" s="583"/>
    </row>
    <row r="218" spans="5:6" ht="14.25" x14ac:dyDescent="0.2">
      <c r="E218" s="583"/>
      <c r="F218" s="583"/>
    </row>
    <row r="219" spans="5:6" ht="14.25" x14ac:dyDescent="0.2">
      <c r="E219" s="583"/>
      <c r="F219" s="583"/>
    </row>
    <row r="220" spans="5:6" ht="14.25" x14ac:dyDescent="0.2">
      <c r="E220" s="583"/>
      <c r="F220" s="583"/>
    </row>
    <row r="221" spans="5:6" ht="14.25" x14ac:dyDescent="0.2">
      <c r="E221" s="583"/>
      <c r="F221" s="583"/>
    </row>
    <row r="222" spans="5:6" ht="14.25" x14ac:dyDescent="0.2">
      <c r="E222" s="583"/>
      <c r="F222" s="583"/>
    </row>
    <row r="223" spans="5:6" ht="14.25" x14ac:dyDescent="0.2">
      <c r="E223" s="583"/>
      <c r="F223" s="583"/>
    </row>
    <row r="224" spans="5:6" ht="14.25" x14ac:dyDescent="0.2">
      <c r="E224" s="583"/>
      <c r="F224" s="583"/>
    </row>
    <row r="225" spans="5:6" ht="14.25" x14ac:dyDescent="0.2">
      <c r="E225" s="583"/>
      <c r="F225" s="583"/>
    </row>
    <row r="226" spans="5:6" ht="14.25" x14ac:dyDescent="0.2">
      <c r="E226" s="583"/>
      <c r="F226" s="583"/>
    </row>
    <row r="227" spans="5:6" ht="14.25" x14ac:dyDescent="0.2">
      <c r="E227" s="583"/>
      <c r="F227" s="583"/>
    </row>
    <row r="228" spans="5:6" ht="14.25" x14ac:dyDescent="0.2">
      <c r="E228" s="583"/>
      <c r="F228" s="583"/>
    </row>
    <row r="229" spans="5:6" ht="14.25" x14ac:dyDescent="0.2">
      <c r="E229" s="583"/>
      <c r="F229" s="583"/>
    </row>
    <row r="230" spans="5:6" ht="14.25" x14ac:dyDescent="0.2">
      <c r="E230" s="583"/>
      <c r="F230" s="583"/>
    </row>
    <row r="231" spans="5:6" ht="14.25" x14ac:dyDescent="0.2">
      <c r="E231" s="583"/>
      <c r="F231" s="583"/>
    </row>
    <row r="232" spans="5:6" ht="14.25" x14ac:dyDescent="0.2">
      <c r="E232" s="583"/>
      <c r="F232" s="583"/>
    </row>
    <row r="233" spans="5:6" ht="14.25" x14ac:dyDescent="0.2">
      <c r="E233" s="583"/>
      <c r="F233" s="583"/>
    </row>
    <row r="234" spans="5:6" ht="14.25" x14ac:dyDescent="0.2">
      <c r="E234" s="583"/>
      <c r="F234" s="583"/>
    </row>
    <row r="235" spans="5:6" ht="14.25" x14ac:dyDescent="0.2">
      <c r="E235" s="583"/>
      <c r="F235" s="583"/>
    </row>
    <row r="236" spans="5:6" ht="14.25" x14ac:dyDescent="0.2">
      <c r="E236" s="583"/>
      <c r="F236" s="583"/>
    </row>
    <row r="237" spans="5:6" ht="14.25" x14ac:dyDescent="0.2">
      <c r="E237" s="583"/>
      <c r="F237" s="583"/>
    </row>
    <row r="238" spans="5:6" ht="14.25" x14ac:dyDescent="0.2">
      <c r="E238" s="583"/>
      <c r="F238" s="583"/>
    </row>
    <row r="239" spans="5:6" ht="14.25" x14ac:dyDescent="0.2">
      <c r="E239" s="583"/>
      <c r="F239" s="583"/>
    </row>
    <row r="240" spans="5:6" ht="14.25" x14ac:dyDescent="0.2">
      <c r="E240" s="583"/>
      <c r="F240" s="583"/>
    </row>
    <row r="241" spans="5:6" ht="14.25" x14ac:dyDescent="0.2">
      <c r="E241" s="583"/>
      <c r="F241" s="583"/>
    </row>
    <row r="242" spans="5:6" ht="14.25" x14ac:dyDescent="0.2">
      <c r="E242" s="583"/>
      <c r="F242" s="583"/>
    </row>
    <row r="243" spans="5:6" ht="14.25" x14ac:dyDescent="0.2">
      <c r="E243" s="583"/>
      <c r="F243" s="583"/>
    </row>
  </sheetData>
  <sheetProtection selectLockedCells="1" selectUnlockedCells="1"/>
  <mergeCells count="31">
    <mergeCell ref="A1:C1"/>
    <mergeCell ref="B38:C38"/>
    <mergeCell ref="B39:C39"/>
    <mergeCell ref="B40:C40"/>
    <mergeCell ref="B41:C41"/>
    <mergeCell ref="B42:C42"/>
    <mergeCell ref="B43:C43"/>
    <mergeCell ref="B44:C44"/>
    <mergeCell ref="B45:C45"/>
    <mergeCell ref="B90:C90"/>
    <mergeCell ref="B91:C91"/>
    <mergeCell ref="B92:C92"/>
    <mergeCell ref="B89:C89"/>
    <mergeCell ref="B96:C96"/>
    <mergeCell ref="B97:C97"/>
    <mergeCell ref="B98:C98"/>
    <mergeCell ref="B99:C99"/>
    <mergeCell ref="B93:C93"/>
    <mergeCell ref="B94:C94"/>
    <mergeCell ref="B95:C95"/>
    <mergeCell ref="B110:C110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05:C105"/>
    <mergeCell ref="B106:C106"/>
  </mergeCells>
  <printOptions horizontalCentered="1"/>
  <pageMargins left="0.19685039370078741" right="0.19685039370078741" top="1.0236220472440944" bottom="0.39370078740157483" header="0.35433070866141736" footer="0.19685039370078741"/>
  <pageSetup paperSize="9" firstPageNumber="96" orientation="portrait" r:id="rId1"/>
  <headerFooter alignWithMargins="0">
    <oddHeader>&amp;C&amp;"Times New Roman,Félkövér"&amp;14
Vecsés Város Önkormányzat 2014. évi tervezett működési céltartaléka&amp;R&amp;12 7.1. sz. melléklet
Ezer Ft</oddHeader>
    <oddFooter>&amp;C- &amp;P -</oddFooter>
  </headerFooter>
  <rowBreaks count="1" manualBreakCount="1">
    <brk id="62" max="9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topLeftCell="A4" zoomScale="120" zoomScaleNormal="120" zoomScaleSheetLayoutView="120" workbookViewId="0">
      <selection activeCell="F4" sqref="F1:F1048576"/>
    </sheetView>
  </sheetViews>
  <sheetFormatPr defaultRowHeight="12.75" x14ac:dyDescent="0.2"/>
  <cols>
    <col min="1" max="1" width="3.33203125" style="168" customWidth="1"/>
    <col min="2" max="2" width="4" style="168" customWidth="1"/>
    <col min="3" max="3" width="8" style="168" customWidth="1"/>
    <col min="4" max="4" width="58.1640625" style="168" customWidth="1"/>
    <col min="5" max="5" width="0" style="168" hidden="1" customWidth="1"/>
    <col min="6" max="6" width="15.1640625" style="168" hidden="1" customWidth="1"/>
    <col min="7" max="8" width="15.1640625" style="168" customWidth="1"/>
    <col min="9" max="16384" width="9.33203125" style="168"/>
  </cols>
  <sheetData>
    <row r="1" spans="1:9" ht="48" customHeight="1" x14ac:dyDescent="0.2">
      <c r="A1" s="1578" t="s">
        <v>150</v>
      </c>
      <c r="B1" s="1578"/>
      <c r="C1" s="1578"/>
      <c r="D1" s="584" t="s">
        <v>122</v>
      </c>
      <c r="E1" s="584" t="s">
        <v>857</v>
      </c>
      <c r="F1" s="585" t="s">
        <v>1023</v>
      </c>
      <c r="G1" s="585" t="s">
        <v>1418</v>
      </c>
      <c r="H1" s="1041"/>
    </row>
    <row r="2" spans="1:9" ht="15.75" customHeight="1" x14ac:dyDescent="0.2">
      <c r="A2" s="586" t="s">
        <v>2</v>
      </c>
      <c r="B2" s="587"/>
      <c r="C2" s="588"/>
      <c r="D2" s="589" t="s">
        <v>759</v>
      </c>
      <c r="E2" s="590">
        <f>SUM(E3)</f>
        <v>36902</v>
      </c>
      <c r="F2" s="590">
        <f>SUM(F3)</f>
        <v>55000</v>
      </c>
      <c r="G2" s="590">
        <f>SUM(G3)</f>
        <v>15272</v>
      </c>
      <c r="H2" s="1042"/>
    </row>
    <row r="3" spans="1:9" ht="17.25" customHeight="1" x14ac:dyDescent="0.2">
      <c r="A3" s="591"/>
      <c r="B3" s="523" t="s">
        <v>654</v>
      </c>
      <c r="C3" s="524"/>
      <c r="D3" s="525" t="s">
        <v>760</v>
      </c>
      <c r="E3" s="526">
        <f>SUM(E5:E11)+E4</f>
        <v>36902</v>
      </c>
      <c r="F3" s="526">
        <f>SUM(F4+F5+F7+F6)</f>
        <v>55000</v>
      </c>
      <c r="G3" s="526">
        <f>SUM(G4+G5+G7+G6+G8+G9)+G10+G11+G12</f>
        <v>15272</v>
      </c>
      <c r="H3" s="1043"/>
      <c r="I3" s="216"/>
    </row>
    <row r="4" spans="1:9" ht="17.25" customHeight="1" x14ac:dyDescent="0.2">
      <c r="A4" s="591"/>
      <c r="B4" s="503" t="s">
        <v>75</v>
      </c>
      <c r="C4" s="524"/>
      <c r="D4" s="525" t="s">
        <v>1030</v>
      </c>
      <c r="E4" s="531">
        <v>27597</v>
      </c>
      <c r="F4" s="531">
        <v>50000</v>
      </c>
      <c r="G4" s="531"/>
      <c r="H4" s="1044"/>
    </row>
    <row r="5" spans="1:9" ht="15" x14ac:dyDescent="0.2">
      <c r="A5" s="591"/>
      <c r="B5" s="503" t="s">
        <v>617</v>
      </c>
      <c r="C5" s="524"/>
      <c r="D5" s="525" t="s">
        <v>1044</v>
      </c>
      <c r="E5" s="592"/>
      <c r="F5" s="531"/>
      <c r="G5" s="531"/>
      <c r="H5" s="1044"/>
    </row>
    <row r="6" spans="1:9" ht="15" x14ac:dyDescent="0.2">
      <c r="A6" s="591"/>
      <c r="B6" s="503" t="s">
        <v>618</v>
      </c>
      <c r="C6" s="524"/>
      <c r="D6" s="525" t="s">
        <v>858</v>
      </c>
      <c r="E6" s="592"/>
      <c r="F6" s="531">
        <v>5000</v>
      </c>
      <c r="G6" s="531"/>
      <c r="H6" s="1044"/>
    </row>
    <row r="7" spans="1:9" ht="30" x14ac:dyDescent="0.2">
      <c r="A7" s="591"/>
      <c r="B7" s="503" t="s">
        <v>619</v>
      </c>
      <c r="C7" s="524"/>
      <c r="D7" s="525" t="s">
        <v>1432</v>
      </c>
      <c r="E7" s="592"/>
      <c r="F7" s="531">
        <f>SUM(F8:F11)</f>
        <v>0</v>
      </c>
      <c r="G7" s="531">
        <v>2250</v>
      </c>
      <c r="H7" s="1044"/>
    </row>
    <row r="8" spans="1:9" ht="15" x14ac:dyDescent="0.2">
      <c r="A8" s="591"/>
      <c r="B8" s="503" t="s">
        <v>620</v>
      </c>
      <c r="C8" s="524"/>
      <c r="D8" s="525" t="s">
        <v>1433</v>
      </c>
      <c r="E8" s="592"/>
      <c r="F8" s="531"/>
      <c r="G8" s="531">
        <v>11604</v>
      </c>
      <c r="H8" s="1044"/>
    </row>
    <row r="9" spans="1:9" ht="30" x14ac:dyDescent="0.2">
      <c r="A9" s="591"/>
      <c r="B9" s="503" t="s">
        <v>178</v>
      </c>
      <c r="C9" s="524"/>
      <c r="D9" s="525" t="s">
        <v>1434</v>
      </c>
      <c r="E9" s="592">
        <v>1755</v>
      </c>
      <c r="F9" s="531"/>
      <c r="G9" s="531">
        <v>1418</v>
      </c>
      <c r="H9" s="1044"/>
    </row>
    <row r="10" spans="1:9" ht="15" x14ac:dyDescent="0.2">
      <c r="A10" s="591"/>
      <c r="B10" s="503" t="s">
        <v>179</v>
      </c>
      <c r="C10" s="524"/>
      <c r="D10" s="525" t="s">
        <v>1436</v>
      </c>
      <c r="E10" s="592">
        <v>1550</v>
      </c>
      <c r="F10" s="531"/>
      <c r="G10" s="531">
        <v>0</v>
      </c>
      <c r="H10" s="1044"/>
    </row>
    <row r="11" spans="1:9" ht="15" x14ac:dyDescent="0.2">
      <c r="A11" s="591"/>
      <c r="B11" s="503" t="s">
        <v>1272</v>
      </c>
      <c r="C11" s="524"/>
      <c r="D11" s="525"/>
      <c r="E11" s="592">
        <v>6000</v>
      </c>
      <c r="F11" s="531"/>
      <c r="G11" s="531"/>
      <c r="H11" s="1044"/>
    </row>
    <row r="12" spans="1:9" ht="15" x14ac:dyDescent="0.2">
      <c r="A12" s="591"/>
      <c r="B12" s="503" t="s">
        <v>1273</v>
      </c>
      <c r="C12" s="524"/>
      <c r="D12" s="525"/>
      <c r="E12" s="592"/>
      <c r="F12" s="531"/>
      <c r="G12" s="531"/>
      <c r="H12" s="1044"/>
    </row>
    <row r="13" spans="1:9" ht="15" hidden="1" x14ac:dyDescent="0.2">
      <c r="A13" s="591"/>
      <c r="B13" s="503" t="s">
        <v>1274</v>
      </c>
      <c r="C13" s="524"/>
      <c r="D13" s="525"/>
      <c r="E13" s="592"/>
      <c r="F13" s="531"/>
      <c r="G13" s="531"/>
      <c r="H13" s="1044"/>
    </row>
    <row r="14" spans="1:9" ht="17.25" customHeight="1" x14ac:dyDescent="0.2">
      <c r="A14" s="591" t="s">
        <v>3</v>
      </c>
      <c r="B14" s="542"/>
      <c r="C14" s="524"/>
      <c r="D14" s="521" t="s">
        <v>800</v>
      </c>
      <c r="E14" s="522">
        <f>SUM(E15+E16+E18+E19)</f>
        <v>31000</v>
      </c>
      <c r="F14" s="522">
        <f>SUM(F15+F16+F18+F19+F36)+F20+F21+F22+F23+F24+F25+F26+F27+F28</f>
        <v>40000</v>
      </c>
      <c r="G14" s="522">
        <f>SUM(G15+G16+G17+G19+G36)+G20+G21+G22+G23+G24+G25+G26+G27+G28+G29+G30+G31+G18</f>
        <v>12000</v>
      </c>
      <c r="H14" s="1042"/>
    </row>
    <row r="15" spans="1:9" s="197" customFormat="1" ht="17.25" customHeight="1" x14ac:dyDescent="0.2">
      <c r="A15" s="591"/>
      <c r="B15" s="523" t="s">
        <v>141</v>
      </c>
      <c r="C15" s="540"/>
      <c r="D15" s="525" t="s">
        <v>859</v>
      </c>
      <c r="E15" s="526">
        <v>30000</v>
      </c>
      <c r="F15" s="526">
        <v>20000</v>
      </c>
      <c r="G15" s="526">
        <v>5000</v>
      </c>
      <c r="H15" s="1043"/>
    </row>
    <row r="16" spans="1:9" ht="15" x14ac:dyDescent="0.2">
      <c r="A16" s="591"/>
      <c r="B16" s="523" t="s">
        <v>143</v>
      </c>
      <c r="C16" s="540"/>
      <c r="D16" s="525" t="s">
        <v>860</v>
      </c>
      <c r="E16" s="526"/>
      <c r="F16" s="526">
        <v>10000</v>
      </c>
      <c r="G16" s="526">
        <v>5000</v>
      </c>
      <c r="H16" s="1043"/>
    </row>
    <row r="17" spans="1:8" ht="15" x14ac:dyDescent="0.2">
      <c r="A17" s="591"/>
      <c r="B17" s="523" t="s">
        <v>144</v>
      </c>
      <c r="C17" s="540"/>
      <c r="D17" s="1053" t="s">
        <v>1435</v>
      </c>
      <c r="G17" s="526">
        <v>2000</v>
      </c>
      <c r="H17" s="1043"/>
    </row>
    <row r="18" spans="1:8" ht="15" x14ac:dyDescent="0.2">
      <c r="A18" s="591"/>
      <c r="B18" s="523" t="s">
        <v>145</v>
      </c>
      <c r="C18" s="540"/>
      <c r="D18" s="525" t="s">
        <v>1037</v>
      </c>
      <c r="E18" s="526"/>
      <c r="F18" s="526">
        <v>10000</v>
      </c>
      <c r="G18" s="526"/>
      <c r="H18" s="1043"/>
    </row>
    <row r="19" spans="1:8" ht="15" x14ac:dyDescent="0.2">
      <c r="A19" s="591"/>
      <c r="B19" s="523" t="s">
        <v>146</v>
      </c>
      <c r="C19" s="540"/>
      <c r="D19" s="525"/>
      <c r="E19" s="526">
        <v>1000</v>
      </c>
      <c r="F19" s="526">
        <v>0</v>
      </c>
      <c r="G19" s="526"/>
      <c r="H19" s="1043"/>
    </row>
    <row r="20" spans="1:8" ht="15" x14ac:dyDescent="0.2">
      <c r="A20" s="591"/>
      <c r="B20" s="523" t="s">
        <v>147</v>
      </c>
      <c r="C20" s="540"/>
      <c r="D20" s="525"/>
      <c r="E20" s="526"/>
      <c r="F20" s="526"/>
      <c r="G20" s="526"/>
      <c r="H20" s="1043"/>
    </row>
    <row r="21" spans="1:8" ht="15" x14ac:dyDescent="0.2">
      <c r="A21" s="591"/>
      <c r="B21" s="523" t="s">
        <v>148</v>
      </c>
      <c r="C21" s="540"/>
      <c r="D21" s="525"/>
      <c r="E21" s="526"/>
      <c r="F21" s="526"/>
      <c r="G21" s="526"/>
      <c r="H21" s="1043"/>
    </row>
    <row r="22" spans="1:8" ht="15" x14ac:dyDescent="0.2">
      <c r="A22" s="591"/>
      <c r="B22" s="523" t="s">
        <v>691</v>
      </c>
      <c r="C22" s="540"/>
      <c r="D22" s="525"/>
      <c r="E22" s="526"/>
      <c r="F22" s="526"/>
      <c r="G22" s="526"/>
      <c r="H22" s="1043"/>
    </row>
    <row r="23" spans="1:8" ht="15" x14ac:dyDescent="0.2">
      <c r="A23" s="591"/>
      <c r="B23" s="523"/>
      <c r="C23" s="540"/>
      <c r="D23" s="525"/>
      <c r="E23" s="526"/>
      <c r="F23" s="526">
        <v>0</v>
      </c>
      <c r="G23" s="526"/>
      <c r="H23" s="1043"/>
    </row>
    <row r="24" spans="1:8" ht="15" hidden="1" x14ac:dyDescent="0.2">
      <c r="A24" s="591"/>
      <c r="B24" s="523" t="s">
        <v>143</v>
      </c>
      <c r="C24" s="540"/>
      <c r="D24" s="525" t="s">
        <v>860</v>
      </c>
      <c r="E24" s="526"/>
      <c r="F24" s="526"/>
      <c r="G24" s="526"/>
      <c r="H24" s="1043"/>
    </row>
    <row r="25" spans="1:8" ht="15" hidden="1" x14ac:dyDescent="0.2">
      <c r="A25" s="591"/>
      <c r="B25" s="523" t="s">
        <v>144</v>
      </c>
      <c r="C25" s="540"/>
      <c r="D25" s="525" t="s">
        <v>1037</v>
      </c>
      <c r="E25" s="526"/>
      <c r="F25" s="526"/>
      <c r="G25" s="526"/>
      <c r="H25" s="1043"/>
    </row>
    <row r="26" spans="1:8" ht="15" hidden="1" x14ac:dyDescent="0.2">
      <c r="A26" s="591"/>
      <c r="B26" s="523"/>
      <c r="C26" s="540"/>
      <c r="D26" s="525" t="s">
        <v>450</v>
      </c>
      <c r="E26" s="526"/>
      <c r="F26" s="526"/>
      <c r="G26" s="526"/>
      <c r="H26" s="1043"/>
    </row>
    <row r="27" spans="1:8" s="752" customFormat="1" ht="30" hidden="1" x14ac:dyDescent="0.2">
      <c r="A27" s="915"/>
      <c r="B27" s="916"/>
      <c r="C27" s="917"/>
      <c r="D27" s="778" t="s">
        <v>1026</v>
      </c>
      <c r="E27" s="918"/>
      <c r="F27" s="759"/>
      <c r="G27" s="759"/>
      <c r="H27" s="1045"/>
    </row>
    <row r="28" spans="1:8" ht="17.25" hidden="1" customHeight="1" x14ac:dyDescent="0.2">
      <c r="A28" s="591"/>
      <c r="B28" s="523"/>
      <c r="C28" s="529"/>
      <c r="D28" s="525"/>
      <c r="E28" s="551"/>
      <c r="F28" s="526"/>
      <c r="G28" s="526"/>
      <c r="H28" s="1043"/>
    </row>
    <row r="29" spans="1:8" ht="17.25" hidden="1" customHeight="1" x14ac:dyDescent="0.2">
      <c r="A29" s="591"/>
      <c r="B29" s="523"/>
      <c r="C29" s="529"/>
      <c r="D29" s="525"/>
      <c r="E29" s="551"/>
      <c r="F29" s="526"/>
      <c r="G29" s="526"/>
      <c r="H29" s="1043"/>
    </row>
    <row r="30" spans="1:8" ht="17.25" hidden="1" customHeight="1" x14ac:dyDescent="0.2">
      <c r="A30" s="591"/>
      <c r="B30" s="523"/>
      <c r="C30" s="529"/>
      <c r="D30" s="525"/>
      <c r="E30" s="551"/>
      <c r="F30" s="526"/>
      <c r="G30" s="526"/>
      <c r="H30" s="1043"/>
    </row>
    <row r="31" spans="1:8" ht="17.25" hidden="1" customHeight="1" x14ac:dyDescent="0.2">
      <c r="A31" s="591"/>
      <c r="B31" s="523"/>
      <c r="C31" s="529"/>
      <c r="D31" s="525"/>
      <c r="E31" s="551"/>
      <c r="F31" s="526"/>
      <c r="G31" s="526"/>
      <c r="H31" s="1043"/>
    </row>
    <row r="32" spans="1:8" hidden="1" x14ac:dyDescent="0.2"/>
    <row r="33" spans="1:8" hidden="1" x14ac:dyDescent="0.2"/>
    <row r="34" spans="1:8" hidden="1" x14ac:dyDescent="0.2"/>
    <row r="35" spans="1:8" hidden="1" x14ac:dyDescent="0.2"/>
    <row r="36" spans="1:8" ht="20.25" hidden="1" customHeight="1" x14ac:dyDescent="0.2">
      <c r="A36" s="593"/>
      <c r="B36" s="523"/>
      <c r="C36" s="594"/>
      <c r="D36" s="570"/>
      <c r="E36" s="571"/>
      <c r="F36" s="571"/>
      <c r="G36" s="571"/>
      <c r="H36" s="1043"/>
    </row>
    <row r="37" spans="1:8" ht="21" customHeight="1" x14ac:dyDescent="0.2">
      <c r="A37" s="595"/>
      <c r="B37" s="596"/>
      <c r="C37" s="597"/>
      <c r="D37" s="598" t="s">
        <v>856</v>
      </c>
      <c r="E37" s="599">
        <f>SUM(E14+E2)</f>
        <v>67902</v>
      </c>
      <c r="F37" s="599">
        <f>SUM(F14+F2)</f>
        <v>95000</v>
      </c>
      <c r="G37" s="599">
        <f>SUM(G14+G2)</f>
        <v>27272</v>
      </c>
      <c r="H37" s="1046"/>
    </row>
    <row r="38" spans="1:8" ht="14.25" x14ac:dyDescent="0.2">
      <c r="A38" s="193"/>
      <c r="B38" s="412"/>
      <c r="C38" s="412"/>
      <c r="D38" s="193"/>
    </row>
    <row r="39" spans="1:8" ht="14.25" x14ac:dyDescent="0.2">
      <c r="A39" s="193"/>
      <c r="B39" s="412"/>
      <c r="C39" s="412"/>
      <c r="D39" s="193"/>
    </row>
    <row r="40" spans="1:8" ht="14.25" x14ac:dyDescent="0.2">
      <c r="A40" s="193"/>
      <c r="B40" s="412"/>
      <c r="C40" s="412"/>
      <c r="D40" s="193"/>
    </row>
    <row r="41" spans="1:8" ht="14.25" x14ac:dyDescent="0.2">
      <c r="A41" s="193"/>
      <c r="B41" s="193"/>
      <c r="C41" s="193"/>
      <c r="D41" s="193"/>
    </row>
    <row r="42" spans="1:8" ht="14.25" x14ac:dyDescent="0.2">
      <c r="A42" s="193"/>
      <c r="B42" s="193"/>
      <c r="C42" s="193"/>
      <c r="D42" s="193"/>
    </row>
    <row r="43" spans="1:8" ht="14.25" x14ac:dyDescent="0.2">
      <c r="D43" s="193"/>
    </row>
    <row r="44" spans="1:8" ht="14.25" x14ac:dyDescent="0.2">
      <c r="D44" s="193"/>
    </row>
    <row r="45" spans="1:8" ht="14.25" x14ac:dyDescent="0.2">
      <c r="D45" s="193"/>
    </row>
    <row r="46" spans="1:8" ht="14.25" x14ac:dyDescent="0.2">
      <c r="D46" s="193"/>
    </row>
    <row r="47" spans="1:8" ht="14.25" x14ac:dyDescent="0.2">
      <c r="D47" s="193"/>
    </row>
    <row r="48" spans="1:8" ht="14.25" x14ac:dyDescent="0.2">
      <c r="D48" s="193"/>
    </row>
    <row r="49" spans="4:4" ht="14.25" x14ac:dyDescent="0.2">
      <c r="D49" s="193"/>
    </row>
    <row r="50" spans="4:4" ht="14.25" x14ac:dyDescent="0.2">
      <c r="D50" s="193"/>
    </row>
    <row r="51" spans="4:4" ht="14.25" x14ac:dyDescent="0.2">
      <c r="D51" s="193"/>
    </row>
    <row r="52" spans="4:4" ht="14.25" x14ac:dyDescent="0.2">
      <c r="D52" s="193"/>
    </row>
    <row r="53" spans="4:4" ht="14.25" x14ac:dyDescent="0.2">
      <c r="D53" s="193"/>
    </row>
    <row r="54" spans="4:4" ht="14.25" x14ac:dyDescent="0.2">
      <c r="D54" s="193"/>
    </row>
    <row r="55" spans="4:4" ht="14.25" x14ac:dyDescent="0.2">
      <c r="D55" s="193"/>
    </row>
    <row r="56" spans="4:4" ht="14.25" x14ac:dyDescent="0.2">
      <c r="D56" s="193"/>
    </row>
    <row r="57" spans="4:4" ht="14.25" x14ac:dyDescent="0.2">
      <c r="D57" s="193"/>
    </row>
    <row r="58" spans="4:4" ht="14.25" x14ac:dyDescent="0.2">
      <c r="D58" s="193"/>
    </row>
    <row r="59" spans="4:4" ht="14.25" x14ac:dyDescent="0.2">
      <c r="D59" s="193"/>
    </row>
    <row r="60" spans="4:4" ht="14.25" x14ac:dyDescent="0.2">
      <c r="D60" s="193"/>
    </row>
    <row r="61" spans="4:4" ht="14.25" x14ac:dyDescent="0.2">
      <c r="D61" s="193"/>
    </row>
    <row r="62" spans="4:4" ht="14.25" x14ac:dyDescent="0.2">
      <c r="D62" s="193"/>
    </row>
    <row r="63" spans="4:4" ht="14.25" x14ac:dyDescent="0.2">
      <c r="D63" s="193"/>
    </row>
    <row r="64" spans="4:4" ht="14.25" x14ac:dyDescent="0.2">
      <c r="D64" s="193"/>
    </row>
    <row r="65" spans="4:4" ht="14.25" x14ac:dyDescent="0.2">
      <c r="D65" s="193"/>
    </row>
    <row r="66" spans="4:4" ht="14.25" x14ac:dyDescent="0.2">
      <c r="D66" s="193"/>
    </row>
    <row r="67" spans="4:4" ht="14.25" x14ac:dyDescent="0.2">
      <c r="D67" s="193"/>
    </row>
    <row r="68" spans="4:4" ht="14.25" x14ac:dyDescent="0.2">
      <c r="D68" s="193"/>
    </row>
    <row r="69" spans="4:4" ht="14.25" x14ac:dyDescent="0.2">
      <c r="D69" s="193"/>
    </row>
    <row r="70" spans="4:4" ht="14.25" x14ac:dyDescent="0.2">
      <c r="D70" s="193"/>
    </row>
    <row r="71" spans="4:4" ht="14.25" x14ac:dyDescent="0.2">
      <c r="D71" s="193"/>
    </row>
    <row r="72" spans="4:4" ht="14.25" x14ac:dyDescent="0.2">
      <c r="D72" s="193"/>
    </row>
    <row r="73" spans="4:4" ht="14.25" x14ac:dyDescent="0.2">
      <c r="D73" s="193"/>
    </row>
    <row r="74" spans="4:4" ht="14.25" x14ac:dyDescent="0.2">
      <c r="D74" s="193"/>
    </row>
    <row r="75" spans="4:4" ht="14.25" x14ac:dyDescent="0.2">
      <c r="D75" s="193"/>
    </row>
    <row r="76" spans="4:4" ht="14.25" x14ac:dyDescent="0.2">
      <c r="D76" s="193"/>
    </row>
    <row r="77" spans="4:4" ht="14.25" x14ac:dyDescent="0.2">
      <c r="D77" s="193"/>
    </row>
    <row r="78" spans="4:4" ht="14.25" x14ac:dyDescent="0.2">
      <c r="D78" s="193"/>
    </row>
    <row r="79" spans="4:4" ht="14.25" x14ac:dyDescent="0.2">
      <c r="D79" s="193"/>
    </row>
    <row r="80" spans="4:4" ht="14.25" x14ac:dyDescent="0.2">
      <c r="D80" s="193"/>
    </row>
    <row r="81" spans="4:4" ht="14.25" x14ac:dyDescent="0.2">
      <c r="D81" s="193"/>
    </row>
    <row r="82" spans="4:4" ht="14.25" x14ac:dyDescent="0.2">
      <c r="D82" s="193"/>
    </row>
    <row r="83" spans="4:4" ht="14.25" x14ac:dyDescent="0.2">
      <c r="D83" s="193"/>
    </row>
    <row r="84" spans="4:4" ht="14.25" x14ac:dyDescent="0.2">
      <c r="D84" s="193"/>
    </row>
    <row r="85" spans="4:4" ht="14.25" x14ac:dyDescent="0.2">
      <c r="D85" s="193"/>
    </row>
    <row r="86" spans="4:4" ht="14.25" x14ac:dyDescent="0.2">
      <c r="D86" s="193"/>
    </row>
    <row r="87" spans="4:4" ht="14.25" x14ac:dyDescent="0.2">
      <c r="D87" s="193"/>
    </row>
    <row r="88" spans="4:4" ht="14.25" x14ac:dyDescent="0.2">
      <c r="D88" s="193"/>
    </row>
    <row r="89" spans="4:4" ht="14.25" x14ac:dyDescent="0.2">
      <c r="D89" s="193"/>
    </row>
    <row r="90" spans="4:4" ht="14.25" x14ac:dyDescent="0.2">
      <c r="D90" s="193"/>
    </row>
    <row r="91" spans="4:4" ht="14.25" x14ac:dyDescent="0.2">
      <c r="D91" s="193"/>
    </row>
    <row r="92" spans="4:4" ht="14.25" x14ac:dyDescent="0.2">
      <c r="D92" s="193"/>
    </row>
    <row r="93" spans="4:4" ht="14.25" x14ac:dyDescent="0.2">
      <c r="D93" s="193"/>
    </row>
    <row r="94" spans="4:4" ht="14.25" x14ac:dyDescent="0.2">
      <c r="D94" s="193"/>
    </row>
    <row r="95" spans="4:4" ht="14.25" x14ac:dyDescent="0.2">
      <c r="D95" s="193"/>
    </row>
    <row r="96" spans="4:4" ht="14.25" x14ac:dyDescent="0.2">
      <c r="D96" s="193"/>
    </row>
  </sheetData>
  <sheetProtection selectLockedCells="1" selectUnlockedCells="1"/>
  <mergeCells count="1">
    <mergeCell ref="A1:C1"/>
  </mergeCells>
  <printOptions horizontalCentered="1"/>
  <pageMargins left="0.19685039370078741" right="0.19685039370078741" top="1.299212598425197" bottom="0.55118110236220474" header="0.35433070866141736" footer="0.23622047244094491"/>
  <pageSetup paperSize="9" firstPageNumber="97" orientation="portrait" r:id="rId1"/>
  <headerFooter alignWithMargins="0">
    <oddHeader>&amp;C&amp;"Times New Roman,Félkövér"&amp;14
Vecsés Város Önkormányzat 2014. évi tervezett felhalmozási céltartaléka&amp;R&amp;12 7.2. sz. melléklet
Ezer Ft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20" workbookViewId="0">
      <selection activeCell="D7" sqref="D7"/>
    </sheetView>
  </sheetViews>
  <sheetFormatPr defaultRowHeight="15" x14ac:dyDescent="0.25"/>
  <cols>
    <col min="1" max="1" width="7.33203125" style="1" customWidth="1"/>
    <col min="2" max="2" width="38.33203125" style="1" customWidth="1"/>
    <col min="3" max="3" width="16" style="1" customWidth="1"/>
    <col min="4" max="4" width="15.83203125" style="1" customWidth="1"/>
    <col min="5" max="5" width="17.33203125" style="1" customWidth="1"/>
    <col min="6" max="6" width="16.83203125" style="1" customWidth="1"/>
    <col min="7" max="7" width="18.83203125" style="1" customWidth="1"/>
    <col min="8" max="16384" width="9.33203125" style="1"/>
  </cols>
  <sheetData>
    <row r="1" spans="1:8" ht="42.75" customHeight="1" x14ac:dyDescent="0.25">
      <c r="A1" s="1579" t="s">
        <v>861</v>
      </c>
      <c r="B1" s="1579"/>
      <c r="C1" s="1579"/>
      <c r="D1" s="1579"/>
      <c r="E1" s="1579"/>
      <c r="F1" s="1579"/>
      <c r="G1" s="1579"/>
    </row>
    <row r="2" spans="1:8" ht="15.95" customHeight="1" x14ac:dyDescent="0.25">
      <c r="A2" s="600"/>
      <c r="B2" s="600"/>
      <c r="C2" s="600"/>
      <c r="D2" s="1580"/>
      <c r="E2" s="1580"/>
      <c r="F2" s="1581" t="s">
        <v>79</v>
      </c>
      <c r="G2" s="1581"/>
      <c r="H2" s="602"/>
    </row>
    <row r="3" spans="1:8" ht="63" customHeight="1" x14ac:dyDescent="0.25">
      <c r="A3" s="1582" t="s">
        <v>862</v>
      </c>
      <c r="B3" s="1583" t="s">
        <v>863</v>
      </c>
      <c r="C3" s="1584" t="s">
        <v>864</v>
      </c>
      <c r="D3" s="1584"/>
      <c r="E3" s="1584"/>
      <c r="F3" s="1584"/>
      <c r="G3" s="1585" t="s">
        <v>865</v>
      </c>
    </row>
    <row r="4" spans="1:8" ht="31.5" x14ac:dyDescent="0.25">
      <c r="A4" s="1582"/>
      <c r="B4" s="1583"/>
      <c r="C4" s="603" t="s">
        <v>867</v>
      </c>
      <c r="D4" s="603" t="s">
        <v>1039</v>
      </c>
      <c r="E4" s="603" t="s">
        <v>1830</v>
      </c>
      <c r="F4" s="603" t="s">
        <v>1465</v>
      </c>
      <c r="G4" s="1585"/>
    </row>
    <row r="5" spans="1:8" ht="15.75" thickBot="1" x14ac:dyDescent="0.3">
      <c r="A5" s="604">
        <v>1</v>
      </c>
      <c r="B5" s="605">
        <v>2</v>
      </c>
      <c r="C5" s="605">
        <v>3</v>
      </c>
      <c r="D5" s="605">
        <v>4</v>
      </c>
      <c r="E5" s="605">
        <v>5</v>
      </c>
      <c r="F5" s="605">
        <v>6</v>
      </c>
      <c r="G5" s="606">
        <v>7</v>
      </c>
    </row>
    <row r="6" spans="1:8" ht="31.5" x14ac:dyDescent="0.25">
      <c r="A6" s="607" t="s">
        <v>2</v>
      </c>
      <c r="B6" s="608" t="s">
        <v>868</v>
      </c>
      <c r="C6" s="1002">
        <v>4150</v>
      </c>
      <c r="D6" s="609">
        <v>0</v>
      </c>
      <c r="E6" s="609"/>
      <c r="F6" s="609"/>
      <c r="G6" s="610">
        <f t="shared" ref="G6:G11" si="0">SUM(C6:F6)</f>
        <v>4150</v>
      </c>
    </row>
    <row r="7" spans="1:8" ht="32.25" thickBot="1" x14ac:dyDescent="0.3">
      <c r="A7" s="611" t="s">
        <v>3</v>
      </c>
      <c r="B7" s="608" t="s">
        <v>869</v>
      </c>
      <c r="C7" s="1005">
        <v>2125</v>
      </c>
      <c r="D7" s="612"/>
      <c r="E7" s="612"/>
      <c r="F7" s="612"/>
      <c r="G7" s="613">
        <f t="shared" si="0"/>
        <v>2125</v>
      </c>
    </row>
    <row r="8" spans="1:8" ht="32.25" thickBot="1" x14ac:dyDescent="0.3">
      <c r="A8" s="611" t="s">
        <v>12</v>
      </c>
      <c r="B8" s="614" t="s">
        <v>870</v>
      </c>
      <c r="C8" s="1006">
        <v>1900</v>
      </c>
      <c r="D8" s="612"/>
      <c r="E8" s="612"/>
      <c r="F8" s="612"/>
      <c r="G8" s="613">
        <f t="shared" si="0"/>
        <v>1900</v>
      </c>
    </row>
    <row r="9" spans="1:8" ht="32.25" thickBot="1" x14ac:dyDescent="0.3">
      <c r="A9" s="611" t="s">
        <v>68</v>
      </c>
      <c r="B9" s="614" t="s">
        <v>871</v>
      </c>
      <c r="C9" s="1006">
        <v>1715</v>
      </c>
      <c r="D9" s="612"/>
      <c r="E9" s="612"/>
      <c r="F9" s="612"/>
      <c r="G9" s="613">
        <f t="shared" si="0"/>
        <v>1715</v>
      </c>
    </row>
    <row r="10" spans="1:8" ht="32.25" thickBot="1" x14ac:dyDescent="0.3">
      <c r="A10" s="611" t="s">
        <v>27</v>
      </c>
      <c r="B10" s="614" t="s">
        <v>872</v>
      </c>
      <c r="C10" s="862">
        <v>2130</v>
      </c>
      <c r="D10" s="612"/>
      <c r="E10" s="612"/>
      <c r="F10" s="612"/>
      <c r="G10" s="613">
        <f t="shared" si="0"/>
        <v>2130</v>
      </c>
    </row>
    <row r="11" spans="1:8" ht="21.75" customHeight="1" thickBot="1" x14ac:dyDescent="0.3">
      <c r="A11" s="615"/>
      <c r="B11" s="616"/>
      <c r="C11" s="617"/>
      <c r="D11" s="617"/>
      <c r="E11" s="617"/>
      <c r="F11" s="617"/>
      <c r="G11" s="613">
        <f t="shared" si="0"/>
        <v>0</v>
      </c>
    </row>
    <row r="12" spans="1:8" ht="15.75" x14ac:dyDescent="0.25">
      <c r="A12" s="618"/>
      <c r="B12" s="619" t="s">
        <v>873</v>
      </c>
      <c r="C12" s="620">
        <f>SUM(C6:C11)</f>
        <v>12020</v>
      </c>
      <c r="D12" s="620">
        <f>SUM(D6:D10)</f>
        <v>0</v>
      </c>
      <c r="E12" s="620">
        <f>SUM(E6:E10)</f>
        <v>0</v>
      </c>
      <c r="F12" s="620">
        <f>SUM(F6:F10)</f>
        <v>0</v>
      </c>
      <c r="G12" s="621">
        <f>SUM(G6:G10)</f>
        <v>12020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39370078740157483" right="0.27559055118110237" top="0.74803149606299213" bottom="0.82677165354330717" header="0.43307086614173229" footer="0.31496062992125984"/>
  <pageSetup paperSize="9" firstPageNumber="98" orientation="landscape" horizontalDpi="300" verticalDpi="300" r:id="rId1"/>
  <headerFooter alignWithMargins="0">
    <oddHeader xml:space="preserve">&amp;R&amp;"Times New Roman,Normál"&amp;12 8.1.  sz. melléklet 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20" workbookViewId="0">
      <selection activeCell="D9" sqref="D9"/>
    </sheetView>
  </sheetViews>
  <sheetFormatPr defaultRowHeight="15" x14ac:dyDescent="0.25"/>
  <cols>
    <col min="1" max="1" width="7.1640625" style="1" customWidth="1"/>
    <col min="2" max="2" width="70.1640625" style="1" customWidth="1"/>
    <col min="3" max="3" width="13.5" style="1" hidden="1" customWidth="1"/>
    <col min="4" max="4" width="13.6640625" style="1" bestFit="1" customWidth="1"/>
    <col min="5" max="16384" width="9.33203125" style="1"/>
  </cols>
  <sheetData>
    <row r="1" spans="1:4" ht="62.25" customHeight="1" x14ac:dyDescent="0.25">
      <c r="A1" s="1579" t="s">
        <v>874</v>
      </c>
      <c r="B1" s="1579"/>
      <c r="C1" s="1579"/>
      <c r="D1" s="1579"/>
    </row>
    <row r="2" spans="1:4" ht="15.95" customHeight="1" thickBot="1" x14ac:dyDescent="0.3">
      <c r="A2" s="600"/>
      <c r="B2" s="600"/>
      <c r="D2" s="601" t="s">
        <v>875</v>
      </c>
    </row>
    <row r="3" spans="1:4" ht="51" customHeight="1" thickBot="1" x14ac:dyDescent="0.3">
      <c r="A3" s="622" t="s">
        <v>862</v>
      </c>
      <c r="B3" s="623" t="s">
        <v>876</v>
      </c>
      <c r="C3" s="624" t="s">
        <v>1032</v>
      </c>
      <c r="D3" s="624" t="s">
        <v>1420</v>
      </c>
    </row>
    <row r="4" spans="1:4" ht="16.5" thickBot="1" x14ac:dyDescent="0.3">
      <c r="A4" s="625">
        <v>1</v>
      </c>
      <c r="B4" s="626">
        <v>2</v>
      </c>
      <c r="C4" s="627">
        <v>3</v>
      </c>
      <c r="D4" s="627">
        <v>3</v>
      </c>
    </row>
    <row r="5" spans="1:4" ht="15.75" x14ac:dyDescent="0.25">
      <c r="A5" s="628" t="s">
        <v>2</v>
      </c>
      <c r="B5" s="1461" t="s">
        <v>85</v>
      </c>
      <c r="C5" s="705">
        <f>SUM('3.1.asz.melléklet'!E31+'3.1.asz.melléklet'!E34+'3.1.asz.melléklet'!E45)</f>
        <v>1515000</v>
      </c>
      <c r="D5" s="705">
        <f>SUM('3.1.asz.melléklet'!G29)</f>
        <v>1610000</v>
      </c>
    </row>
    <row r="6" spans="1:4" ht="31.5" x14ac:dyDescent="0.25">
      <c r="A6" s="629" t="s">
        <v>3</v>
      </c>
      <c r="B6" s="1462" t="s">
        <v>1838</v>
      </c>
      <c r="C6" s="706">
        <f>SUM('3.1.asz.melléklet'!E131)</f>
        <v>0</v>
      </c>
      <c r="D6" s="706">
        <f>SUM('3.1.asz.melléklet'!F131)</f>
        <v>0</v>
      </c>
    </row>
    <row r="7" spans="1:4" ht="15.75" x14ac:dyDescent="0.25">
      <c r="A7" s="629" t="s">
        <v>12</v>
      </c>
      <c r="B7" s="1463" t="s">
        <v>1839</v>
      </c>
      <c r="C7" s="706">
        <f>SUM('3.1.asz.melléklet'!E44)</f>
        <v>10000</v>
      </c>
      <c r="D7" s="706"/>
    </row>
    <row r="8" spans="1:4" ht="31.5" x14ac:dyDescent="0.25">
      <c r="A8" s="629" t="s">
        <v>68</v>
      </c>
      <c r="B8" s="1463" t="s">
        <v>1840</v>
      </c>
      <c r="C8" s="706">
        <f>SUM('3.1.asz.melléklet'!E112)</f>
        <v>200000</v>
      </c>
      <c r="D8" s="706">
        <f>SUM('3.1.asz.melléklet'!G112)</f>
        <v>250000</v>
      </c>
    </row>
    <row r="9" spans="1:4" ht="15.75" x14ac:dyDescent="0.25">
      <c r="A9" s="630" t="s">
        <v>27</v>
      </c>
      <c r="B9" s="1463" t="s">
        <v>1841</v>
      </c>
      <c r="C9" s="707"/>
      <c r="D9" s="707"/>
    </row>
    <row r="10" spans="1:4" ht="16.5" thickBot="1" x14ac:dyDescent="0.3">
      <c r="A10" s="629" t="s">
        <v>32</v>
      </c>
      <c r="B10" s="1464" t="s">
        <v>129</v>
      </c>
      <c r="C10" s="706"/>
      <c r="D10" s="706"/>
    </row>
    <row r="11" spans="1:4" ht="16.5" thickBot="1" x14ac:dyDescent="0.3">
      <c r="A11" s="630" t="s">
        <v>74</v>
      </c>
      <c r="B11" s="631" t="s">
        <v>129</v>
      </c>
      <c r="C11" s="707"/>
      <c r="D11" s="707"/>
    </row>
    <row r="12" spans="1:4" ht="16.5" thickBot="1" x14ac:dyDescent="0.3">
      <c r="A12" s="1586" t="s">
        <v>879</v>
      </c>
      <c r="B12" s="1586"/>
      <c r="C12" s="708">
        <f>SUM(C5:C11)</f>
        <v>1725000</v>
      </c>
      <c r="D12" s="708">
        <f>SUM(D5:D11)</f>
        <v>1860000</v>
      </c>
    </row>
    <row r="13" spans="1:4" ht="23.25" customHeight="1" x14ac:dyDescent="0.25">
      <c r="A13" s="1587"/>
      <c r="B13" s="1587"/>
      <c r="C13" s="1587"/>
    </row>
  </sheetData>
  <sheetProtection selectLockedCells="1" selectUnlockedCells="1"/>
  <mergeCells count="3">
    <mergeCell ref="A12:B12"/>
    <mergeCell ref="A13:C13"/>
    <mergeCell ref="A1:D1"/>
  </mergeCells>
  <printOptions horizontalCentered="1"/>
  <pageMargins left="0.39370078740157483" right="0.27559055118110237" top="0.98425196850393704" bottom="0.98425196850393704" header="0.43307086614173229" footer="0.78740157480314965"/>
  <pageSetup paperSize="9" firstPageNumber="99" orientation="portrait" horizontalDpi="300" verticalDpi="300" r:id="rId1"/>
  <headerFooter alignWithMargins="0">
    <oddHeader>&amp;R&amp;"Times New Roman,Normál"&amp;12 8.2. sz. melléklet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20" workbookViewId="0">
      <selection activeCell="A2" sqref="A2"/>
    </sheetView>
  </sheetViews>
  <sheetFormatPr defaultRowHeight="15" x14ac:dyDescent="0.25"/>
  <cols>
    <col min="1" max="1" width="7.83203125" style="1" customWidth="1"/>
    <col min="2" max="2" width="66.83203125" style="1" customWidth="1"/>
    <col min="3" max="3" width="27" style="1" customWidth="1"/>
    <col min="4" max="16384" width="9.33203125" style="1"/>
  </cols>
  <sheetData>
    <row r="1" spans="1:4" ht="42" customHeight="1" x14ac:dyDescent="0.25">
      <c r="A1" s="1579" t="s">
        <v>1460</v>
      </c>
      <c r="B1" s="1579"/>
      <c r="C1" s="1579"/>
    </row>
    <row r="2" spans="1:4" ht="15.95" customHeight="1" x14ac:dyDescent="0.25">
      <c r="A2" s="600"/>
      <c r="B2" s="600"/>
      <c r="C2" s="601" t="s">
        <v>875</v>
      </c>
      <c r="D2" s="602"/>
    </row>
    <row r="3" spans="1:4" ht="36" customHeight="1" x14ac:dyDescent="0.25">
      <c r="A3" s="622" t="s">
        <v>862</v>
      </c>
      <c r="B3" s="623" t="s">
        <v>880</v>
      </c>
      <c r="C3" s="624" t="s">
        <v>881</v>
      </c>
    </row>
    <row r="4" spans="1:4" ht="15.75" x14ac:dyDescent="0.25">
      <c r="A4" s="625">
        <v>1</v>
      </c>
      <c r="B4" s="626">
        <v>2</v>
      </c>
      <c r="C4" s="627">
        <v>3</v>
      </c>
    </row>
    <row r="5" spans="1:4" ht="15.75" x14ac:dyDescent="0.25">
      <c r="A5" s="632" t="s">
        <v>2</v>
      </c>
      <c r="B5" s="633"/>
      <c r="C5" s="634"/>
    </row>
    <row r="6" spans="1:4" ht="15.75" x14ac:dyDescent="0.25">
      <c r="A6" s="635" t="s">
        <v>3</v>
      </c>
      <c r="B6" s="636"/>
      <c r="C6" s="637"/>
    </row>
    <row r="7" spans="1:4" ht="15.75" x14ac:dyDescent="0.25">
      <c r="A7" s="638" t="s">
        <v>12</v>
      </c>
      <c r="B7" s="639"/>
      <c r="C7" s="640"/>
    </row>
    <row r="8" spans="1:4" ht="30.75" customHeight="1" x14ac:dyDescent="0.25">
      <c r="A8" s="641" t="s">
        <v>68</v>
      </c>
      <c r="B8" s="642" t="s">
        <v>882</v>
      </c>
      <c r="C8" s="643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31496062992125984" right="0.39370078740157483" top="1.0629921259842521" bottom="0.98425196850393704" header="0.55118110236220474" footer="0.78740157480314965"/>
  <pageSetup paperSize="9" firstPageNumber="100" orientation="portrait" horizontalDpi="300" verticalDpi="300" r:id="rId1"/>
  <headerFooter alignWithMargins="0">
    <oddHeader>&amp;R&amp;"Times New Roman,Normál"&amp;12 8.3. sz. melléklet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120" zoomScaleNormal="100" zoomScaleSheetLayoutView="120" workbookViewId="0">
      <selection activeCell="C28" sqref="C28"/>
    </sheetView>
  </sheetViews>
  <sheetFormatPr defaultRowHeight="12.75" x14ac:dyDescent="0.2"/>
  <cols>
    <col min="1" max="1" width="5" style="644" customWidth="1"/>
    <col min="2" max="2" width="8.5" style="644" customWidth="1"/>
    <col min="3" max="3" width="54.6640625" style="645" customWidth="1"/>
    <col min="4" max="4" width="15.5" style="646" customWidth="1"/>
    <col min="5" max="5" width="10.83203125" style="645" customWidth="1"/>
    <col min="6" max="6" width="15.5" style="647" customWidth="1"/>
    <col min="7" max="7" width="9.33203125" style="645"/>
    <col min="8" max="8" width="18.6640625" style="645" bestFit="1" customWidth="1"/>
    <col min="9" max="9" width="18.5" style="645" bestFit="1" customWidth="1"/>
    <col min="10" max="16384" width="9.33203125" style="645"/>
  </cols>
  <sheetData>
    <row r="1" spans="1:8" ht="15.75" customHeight="1" thickBot="1" x14ac:dyDescent="0.25">
      <c r="A1" s="1590" t="s">
        <v>883</v>
      </c>
      <c r="B1" s="1591"/>
      <c r="C1" s="1591"/>
      <c r="D1" s="1594" t="s">
        <v>1439</v>
      </c>
      <c r="E1" s="1595"/>
      <c r="F1" s="1596"/>
    </row>
    <row r="2" spans="1:8" ht="24.75" thickBot="1" x14ac:dyDescent="0.25">
      <c r="A2" s="1592"/>
      <c r="B2" s="1593"/>
      <c r="C2" s="1593"/>
      <c r="D2" s="812" t="s">
        <v>1125</v>
      </c>
      <c r="E2" s="813" t="s">
        <v>1126</v>
      </c>
      <c r="F2" s="814" t="s">
        <v>884</v>
      </c>
    </row>
    <row r="3" spans="1:8" ht="21.75" customHeight="1" thickBot="1" x14ac:dyDescent="0.25">
      <c r="A3" s="1060" t="s">
        <v>629</v>
      </c>
      <c r="B3" s="1061"/>
      <c r="C3" s="1597" t="s">
        <v>1127</v>
      </c>
      <c r="D3" s="1597"/>
      <c r="E3" s="1597"/>
      <c r="F3" s="1598"/>
    </row>
    <row r="4" spans="1:8" s="648" customFormat="1" ht="36" customHeight="1" x14ac:dyDescent="0.25">
      <c r="A4" s="1062" t="s">
        <v>2</v>
      </c>
      <c r="B4" s="1063" t="s">
        <v>2</v>
      </c>
      <c r="C4" s="815" t="s">
        <v>1128</v>
      </c>
      <c r="D4" s="816"/>
      <c r="E4" s="1064"/>
      <c r="F4" s="817">
        <f>SUM(F14)</f>
        <v>27538650</v>
      </c>
    </row>
    <row r="5" spans="1:8" s="648" customFormat="1" ht="14.1" customHeight="1" x14ac:dyDescent="0.25">
      <c r="A5" s="818"/>
      <c r="B5" s="1065" t="s">
        <v>1129</v>
      </c>
      <c r="C5" s="1066" t="s">
        <v>1127</v>
      </c>
      <c r="D5" s="1067">
        <v>4580000</v>
      </c>
      <c r="E5" s="1068">
        <v>42.48</v>
      </c>
      <c r="F5" s="1069">
        <f>SUM(D5*E5)</f>
        <v>194558400</v>
      </c>
    </row>
    <row r="6" spans="1:8" ht="14.1" customHeight="1" x14ac:dyDescent="0.2">
      <c r="A6" s="819"/>
      <c r="B6" s="1070" t="s">
        <v>1130</v>
      </c>
      <c r="C6" s="1071" t="s">
        <v>1131</v>
      </c>
      <c r="D6" s="1067"/>
      <c r="E6" s="1072"/>
      <c r="F6" s="1069"/>
    </row>
    <row r="7" spans="1:8" ht="24.75" customHeight="1" x14ac:dyDescent="0.2">
      <c r="A7" s="819"/>
      <c r="B7" s="649" t="s">
        <v>1132</v>
      </c>
      <c r="C7" s="1073" t="s">
        <v>1133</v>
      </c>
      <c r="D7" s="1074"/>
      <c r="E7" s="1075"/>
      <c r="F7" s="1069">
        <v>18919320</v>
      </c>
    </row>
    <row r="8" spans="1:8" ht="30" customHeight="1" x14ac:dyDescent="0.2">
      <c r="A8" s="819"/>
      <c r="B8" s="1076" t="s">
        <v>1134</v>
      </c>
      <c r="C8" s="1073" t="s">
        <v>1135</v>
      </c>
      <c r="D8" s="1074"/>
      <c r="E8" s="1075"/>
      <c r="F8" s="1069">
        <v>44491200</v>
      </c>
    </row>
    <row r="9" spans="1:8" ht="14.1" customHeight="1" x14ac:dyDescent="0.2">
      <c r="A9" s="819"/>
      <c r="B9" s="1076" t="s">
        <v>1136</v>
      </c>
      <c r="C9" s="1073" t="s">
        <v>1137</v>
      </c>
      <c r="D9" s="1074"/>
      <c r="E9" s="1077"/>
      <c r="F9" s="1069">
        <v>100000</v>
      </c>
    </row>
    <row r="10" spans="1:8" ht="14.1" customHeight="1" x14ac:dyDescent="0.2">
      <c r="A10" s="819"/>
      <c r="B10" s="1078" t="s">
        <v>1138</v>
      </c>
      <c r="C10" s="1079" t="s">
        <v>1139</v>
      </c>
      <c r="D10" s="1080"/>
      <c r="E10" s="1075"/>
      <c r="F10" s="1069">
        <v>25919880</v>
      </c>
    </row>
    <row r="11" spans="1:8" ht="14.1" customHeight="1" x14ac:dyDescent="0.2">
      <c r="A11" s="819"/>
      <c r="B11" s="1078"/>
      <c r="C11" s="1079"/>
      <c r="D11" s="1080"/>
      <c r="E11" s="1075"/>
      <c r="F11" s="1069">
        <f>SUM(F5:F10)</f>
        <v>283988800</v>
      </c>
    </row>
    <row r="12" spans="1:8" ht="14.1" customHeight="1" x14ac:dyDescent="0.2">
      <c r="A12" s="819"/>
      <c r="B12" s="1076" t="s">
        <v>1140</v>
      </c>
      <c r="C12" s="1081" t="s">
        <v>1141</v>
      </c>
      <c r="D12" s="1080"/>
      <c r="E12" s="1075"/>
      <c r="F12" s="1069">
        <v>366752615</v>
      </c>
    </row>
    <row r="13" spans="1:8" ht="14.1" customHeight="1" x14ac:dyDescent="0.2">
      <c r="A13" s="819"/>
      <c r="B13" s="1076" t="s">
        <v>1142</v>
      </c>
      <c r="C13" s="1081" t="s">
        <v>1143</v>
      </c>
      <c r="D13" s="1080">
        <v>2700</v>
      </c>
      <c r="E13" s="1075">
        <v>20399</v>
      </c>
      <c r="F13" s="1069">
        <f>SUM(D13*E13)</f>
        <v>55077300</v>
      </c>
      <c r="H13" s="650"/>
    </row>
    <row r="14" spans="1:8" ht="14.1" customHeight="1" thickBot="1" x14ac:dyDescent="0.25">
      <c r="A14" s="1082"/>
      <c r="B14" s="1076"/>
      <c r="C14" s="1083" t="s">
        <v>1440</v>
      </c>
      <c r="D14" s="1084"/>
      <c r="E14" s="1085"/>
      <c r="F14" s="1086">
        <f>SUM(F13)/2</f>
        <v>27538650</v>
      </c>
      <c r="H14" s="650"/>
    </row>
    <row r="15" spans="1:8" ht="27.75" customHeight="1" x14ac:dyDescent="0.2">
      <c r="A15" s="820" t="s">
        <v>888</v>
      </c>
      <c r="B15" s="1087"/>
      <c r="C15" s="1088" t="s">
        <v>1873</v>
      </c>
      <c r="D15" s="821"/>
      <c r="E15" s="1088"/>
      <c r="F15" s="1089">
        <f>SUM(F16+F24)</f>
        <v>316479360.00000006</v>
      </c>
      <c r="H15" s="650"/>
    </row>
    <row r="16" spans="1:8" ht="14.1" customHeight="1" x14ac:dyDescent="0.2">
      <c r="A16" s="822" t="s">
        <v>2</v>
      </c>
      <c r="B16" s="1090" t="s">
        <v>2</v>
      </c>
      <c r="C16" s="1091" t="s">
        <v>1144</v>
      </c>
      <c r="D16" s="1092"/>
      <c r="E16" s="1092"/>
      <c r="F16" s="1092">
        <f>SUM(F17+F21)</f>
        <v>279612693.33333337</v>
      </c>
      <c r="H16" s="650"/>
    </row>
    <row r="17" spans="1:8" ht="14.1" customHeight="1" x14ac:dyDescent="0.2">
      <c r="A17" s="819"/>
      <c r="B17" s="1076"/>
      <c r="C17" s="1081" t="s">
        <v>1145</v>
      </c>
      <c r="D17" s="1080"/>
      <c r="E17" s="1093"/>
      <c r="F17" s="1069">
        <f>SUM(F18:F20)</f>
        <v>216612693.33333334</v>
      </c>
      <c r="H17" s="650"/>
    </row>
    <row r="18" spans="1:8" ht="14.1" customHeight="1" x14ac:dyDescent="0.2">
      <c r="A18" s="819"/>
      <c r="B18" s="1076"/>
      <c r="C18" s="1094" t="s">
        <v>1462</v>
      </c>
      <c r="D18" s="1095">
        <v>4012000</v>
      </c>
      <c r="E18" s="1096">
        <v>53.6</v>
      </c>
      <c r="F18" s="1097">
        <f>D18*E18/12*8</f>
        <v>143362133.33333334</v>
      </c>
      <c r="H18" s="650"/>
    </row>
    <row r="19" spans="1:8" ht="14.1" customHeight="1" x14ac:dyDescent="0.2">
      <c r="A19" s="819"/>
      <c r="B19" s="1076"/>
      <c r="C19" s="1094" t="s">
        <v>1461</v>
      </c>
      <c r="D19" s="1095">
        <v>4012000</v>
      </c>
      <c r="E19" s="1096">
        <v>53.4</v>
      </c>
      <c r="F19" s="1097">
        <f>D19*E19/12*4</f>
        <v>71413600</v>
      </c>
      <c r="H19" s="650"/>
    </row>
    <row r="20" spans="1:8" ht="25.5" customHeight="1" x14ac:dyDescent="0.2">
      <c r="A20" s="819"/>
      <c r="B20" s="1076"/>
      <c r="C20" s="1094" t="s">
        <v>1441</v>
      </c>
      <c r="D20" s="1095">
        <v>34400</v>
      </c>
      <c r="E20" s="1096">
        <v>53.4</v>
      </c>
      <c r="F20" s="1097">
        <f>SUM(D20*E20)</f>
        <v>1836960</v>
      </c>
      <c r="H20" s="650"/>
    </row>
    <row r="21" spans="1:8" ht="24" customHeight="1" x14ac:dyDescent="0.2">
      <c r="A21" s="819"/>
      <c r="B21" s="1076"/>
      <c r="C21" s="1081" t="s">
        <v>1146</v>
      </c>
      <c r="D21" s="1080"/>
      <c r="E21" s="1093"/>
      <c r="F21" s="1069">
        <f>SUM(F22:F23)</f>
        <v>63000000</v>
      </c>
      <c r="H21" s="650"/>
    </row>
    <row r="22" spans="1:8" ht="14.1" customHeight="1" x14ac:dyDescent="0.2">
      <c r="A22" s="819"/>
      <c r="B22" s="1076"/>
      <c r="C22" s="1094" t="s">
        <v>1462</v>
      </c>
      <c r="D22" s="1095">
        <v>1800000</v>
      </c>
      <c r="E22" s="1096">
        <v>35</v>
      </c>
      <c r="F22" s="1097">
        <f>D22*E22/12*8</f>
        <v>42000000</v>
      </c>
      <c r="H22" s="650"/>
    </row>
    <row r="23" spans="1:8" ht="14.1" customHeight="1" x14ac:dyDescent="0.2">
      <c r="A23" s="819"/>
      <c r="B23" s="1076"/>
      <c r="C23" s="1094" t="s">
        <v>1461</v>
      </c>
      <c r="D23" s="1095">
        <v>1800000</v>
      </c>
      <c r="E23" s="1096">
        <v>35</v>
      </c>
      <c r="F23" s="1097">
        <f>D23*E23/12*4</f>
        <v>21000000</v>
      </c>
      <c r="H23" s="650"/>
    </row>
    <row r="24" spans="1:8" ht="18" customHeight="1" x14ac:dyDescent="0.2">
      <c r="A24" s="822" t="s">
        <v>3</v>
      </c>
      <c r="B24" s="1090" t="s">
        <v>3</v>
      </c>
      <c r="C24" s="1091" t="s">
        <v>1147</v>
      </c>
      <c r="D24" s="1092"/>
      <c r="E24" s="1098"/>
      <c r="F24" s="1099">
        <f>SUM(F25:F26)</f>
        <v>36866666.666666664</v>
      </c>
      <c r="H24" s="650"/>
    </row>
    <row r="25" spans="1:8" ht="14.1" customHeight="1" x14ac:dyDescent="0.2">
      <c r="A25" s="819"/>
      <c r="B25" s="1076"/>
      <c r="C25" s="1094" t="s">
        <v>1462</v>
      </c>
      <c r="D25" s="1095">
        <v>56000</v>
      </c>
      <c r="E25" s="1096">
        <v>660</v>
      </c>
      <c r="F25" s="1097">
        <f>D25*E25/12*8</f>
        <v>24640000</v>
      </c>
      <c r="H25" s="650"/>
    </row>
    <row r="26" spans="1:8" ht="14.1" customHeight="1" x14ac:dyDescent="0.2">
      <c r="A26" s="819"/>
      <c r="B26" s="1076"/>
      <c r="C26" s="1094" t="s">
        <v>1461</v>
      </c>
      <c r="D26" s="1095">
        <v>56000</v>
      </c>
      <c r="E26" s="1096">
        <v>655</v>
      </c>
      <c r="F26" s="1097">
        <f>D26*E26/12*4</f>
        <v>12226666.666666666</v>
      </c>
      <c r="H26" s="650"/>
    </row>
    <row r="27" spans="1:8" ht="24.75" customHeight="1" x14ac:dyDescent="0.2">
      <c r="A27" s="822" t="s">
        <v>889</v>
      </c>
      <c r="B27" s="1076"/>
      <c r="C27" s="1101" t="s">
        <v>1874</v>
      </c>
      <c r="D27" s="1080"/>
      <c r="E27" s="1100"/>
      <c r="F27" s="1102">
        <f>SUM(F28+F30+F31+F40)</f>
        <v>186521488</v>
      </c>
      <c r="H27" s="650"/>
    </row>
    <row r="28" spans="1:8" ht="19.5" customHeight="1" x14ac:dyDescent="0.2">
      <c r="A28" s="822"/>
      <c r="B28" s="1090" t="s">
        <v>2</v>
      </c>
      <c r="C28" s="1091" t="s">
        <v>1148</v>
      </c>
      <c r="D28" s="1080"/>
      <c r="E28" s="1100"/>
      <c r="F28" s="1069"/>
      <c r="H28" s="650"/>
    </row>
    <row r="29" spans="1:8" ht="17.25" customHeight="1" x14ac:dyDescent="0.2">
      <c r="A29" s="822"/>
      <c r="B29" s="1090" t="s">
        <v>3</v>
      </c>
      <c r="C29" s="1091" t="s">
        <v>1149</v>
      </c>
      <c r="D29" s="1080"/>
      <c r="E29" s="1100"/>
      <c r="F29" s="1099">
        <v>38255654</v>
      </c>
      <c r="H29" s="650"/>
    </row>
    <row r="30" spans="1:8" ht="17.25" customHeight="1" x14ac:dyDescent="0.2">
      <c r="A30" s="822"/>
      <c r="B30" s="1090"/>
      <c r="C30" s="1091" t="s">
        <v>1440</v>
      </c>
      <c r="D30" s="1080"/>
      <c r="E30" s="1100"/>
      <c r="F30" s="1103">
        <f>SUM(F29)/2</f>
        <v>19127827</v>
      </c>
      <c r="H30" s="650"/>
    </row>
    <row r="31" spans="1:8" ht="17.25" customHeight="1" x14ac:dyDescent="0.2">
      <c r="A31" s="822"/>
      <c r="B31" s="1090" t="s">
        <v>1150</v>
      </c>
      <c r="C31" s="1091" t="s">
        <v>1151</v>
      </c>
      <c r="D31" s="1092"/>
      <c r="E31" s="1092"/>
      <c r="F31" s="1092">
        <f>SUM(F32:F39)</f>
        <v>106861320</v>
      </c>
      <c r="H31" s="650"/>
    </row>
    <row r="32" spans="1:8" ht="17.25" customHeight="1" x14ac:dyDescent="0.2">
      <c r="A32" s="822"/>
      <c r="B32" s="1104" t="s">
        <v>1152</v>
      </c>
      <c r="C32" s="1105" t="s">
        <v>1153</v>
      </c>
      <c r="D32" s="1080"/>
      <c r="E32" s="1100"/>
      <c r="F32" s="1069">
        <v>41591920</v>
      </c>
      <c r="H32" s="650"/>
    </row>
    <row r="33" spans="1:8" ht="17.25" customHeight="1" x14ac:dyDescent="0.2">
      <c r="A33" s="822"/>
      <c r="B33" s="1104" t="s">
        <v>1154</v>
      </c>
      <c r="C33" s="1105" t="s">
        <v>1155</v>
      </c>
      <c r="D33" s="1080">
        <v>300</v>
      </c>
      <c r="E33" s="1100">
        <v>52648</v>
      </c>
      <c r="F33" s="1069">
        <f>SUM(D33*E33)</f>
        <v>15794400</v>
      </c>
      <c r="H33" s="650"/>
    </row>
    <row r="34" spans="1:8" ht="17.25" customHeight="1" x14ac:dyDescent="0.2">
      <c r="A34" s="822"/>
      <c r="B34" s="1104" t="s">
        <v>1156</v>
      </c>
      <c r="C34" s="1105" t="s">
        <v>1157</v>
      </c>
      <c r="D34" s="1080">
        <v>1200</v>
      </c>
      <c r="E34" s="1100">
        <v>9985</v>
      </c>
      <c r="F34" s="1069">
        <f>SUM(D34*E34)</f>
        <v>11982000</v>
      </c>
      <c r="H34" s="650"/>
    </row>
    <row r="35" spans="1:8" ht="17.25" customHeight="1" x14ac:dyDescent="0.2">
      <c r="A35" s="822"/>
      <c r="B35" s="1104" t="s">
        <v>1158</v>
      </c>
      <c r="C35" s="1081" t="s">
        <v>886</v>
      </c>
      <c r="D35" s="1080">
        <v>55360</v>
      </c>
      <c r="E35" s="1100">
        <v>160</v>
      </c>
      <c r="F35" s="1069">
        <f>SUM(D35*E35)</f>
        <v>8857600</v>
      </c>
      <c r="H35" s="650"/>
    </row>
    <row r="36" spans="1:8" ht="17.25" customHeight="1" x14ac:dyDescent="0.2">
      <c r="A36" s="822"/>
      <c r="B36" s="1104" t="s">
        <v>1159</v>
      </c>
      <c r="C36" s="1081" t="s">
        <v>622</v>
      </c>
      <c r="D36" s="1080">
        <v>145000</v>
      </c>
      <c r="E36" s="1100">
        <v>25</v>
      </c>
      <c r="F36" s="1069">
        <f>SUM(D36*E36)</f>
        <v>3625000</v>
      </c>
      <c r="H36" s="650"/>
    </row>
    <row r="37" spans="1:8" ht="24.75" customHeight="1" x14ac:dyDescent="0.2">
      <c r="A37" s="822"/>
      <c r="B37" s="1104" t="s">
        <v>1160</v>
      </c>
      <c r="C37" s="1081" t="s">
        <v>1447</v>
      </c>
      <c r="D37" s="1080">
        <v>109000</v>
      </c>
      <c r="E37" s="1100">
        <v>30</v>
      </c>
      <c r="F37" s="1069">
        <f>SUM(D37*E37)</f>
        <v>3270000</v>
      </c>
      <c r="H37" s="650"/>
    </row>
    <row r="38" spans="1:8" ht="17.25" customHeight="1" x14ac:dyDescent="0.2">
      <c r="A38" s="822"/>
      <c r="B38" s="1104" t="s">
        <v>1161</v>
      </c>
      <c r="C38" s="1081" t="s">
        <v>887</v>
      </c>
      <c r="D38" s="1080"/>
      <c r="E38" s="1100"/>
      <c r="F38" s="1069"/>
      <c r="H38" s="650"/>
    </row>
    <row r="39" spans="1:8" ht="17.25" customHeight="1" x14ac:dyDescent="0.2">
      <c r="A39" s="822"/>
      <c r="B39" s="1104" t="s">
        <v>1162</v>
      </c>
      <c r="C39" s="1081" t="s">
        <v>1163</v>
      </c>
      <c r="D39" s="1080">
        <v>494100</v>
      </c>
      <c r="E39" s="1100">
        <v>44</v>
      </c>
      <c r="F39" s="1069">
        <f>SUM(D39*E39)</f>
        <v>21740400</v>
      </c>
      <c r="H39" s="650"/>
    </row>
    <row r="40" spans="1:8" ht="17.25" customHeight="1" x14ac:dyDescent="0.2">
      <c r="A40" s="822"/>
      <c r="B40" s="1090" t="s">
        <v>27</v>
      </c>
      <c r="C40" s="1091" t="s">
        <v>1442</v>
      </c>
      <c r="D40" s="1092">
        <f>SUM(D41:D42)</f>
        <v>0</v>
      </c>
      <c r="E40" s="1092">
        <f>SUM(E41:E42)</f>
        <v>0</v>
      </c>
      <c r="F40" s="1092">
        <f>SUM(F41:F42)</f>
        <v>60532341</v>
      </c>
      <c r="H40" s="650"/>
    </row>
    <row r="41" spans="1:8" ht="17.25" customHeight="1" x14ac:dyDescent="0.2">
      <c r="A41" s="822"/>
      <c r="B41" s="1076" t="s">
        <v>1443</v>
      </c>
      <c r="C41" s="1081" t="s">
        <v>1444</v>
      </c>
      <c r="D41" s="1080"/>
      <c r="E41" s="1100"/>
      <c r="F41" s="1069">
        <v>45973440</v>
      </c>
      <c r="H41" s="650"/>
    </row>
    <row r="42" spans="1:8" ht="17.25" customHeight="1" x14ac:dyDescent="0.2">
      <c r="A42" s="822"/>
      <c r="B42" s="1076" t="s">
        <v>1445</v>
      </c>
      <c r="C42" s="1081" t="s">
        <v>1446</v>
      </c>
      <c r="D42" s="1080"/>
      <c r="E42" s="1100"/>
      <c r="F42" s="1069">
        <v>14558901</v>
      </c>
      <c r="H42" s="650"/>
    </row>
    <row r="43" spans="1:8" ht="27.75" customHeight="1" x14ac:dyDescent="0.2">
      <c r="A43" s="822" t="s">
        <v>890</v>
      </c>
      <c r="B43" s="1104"/>
      <c r="C43" s="1101" t="s">
        <v>1164</v>
      </c>
      <c r="D43" s="1080"/>
      <c r="E43" s="1100"/>
      <c r="F43" s="1102">
        <f>SUM(F44)</f>
        <v>23254860</v>
      </c>
      <c r="H43" s="650"/>
    </row>
    <row r="44" spans="1:8" ht="27.75" customHeight="1" x14ac:dyDescent="0.2">
      <c r="A44" s="822"/>
      <c r="B44" s="1090" t="s">
        <v>2</v>
      </c>
      <c r="C44" s="1091" t="s">
        <v>1165</v>
      </c>
      <c r="D44" s="1080"/>
      <c r="E44" s="1100"/>
      <c r="F44" s="1099">
        <f>SUM(F45)</f>
        <v>23254860</v>
      </c>
      <c r="H44" s="650"/>
    </row>
    <row r="45" spans="1:8" ht="27.75" customHeight="1" x14ac:dyDescent="0.2">
      <c r="A45" s="822"/>
      <c r="B45" s="1104" t="s">
        <v>1166</v>
      </c>
      <c r="C45" s="1105" t="s">
        <v>1167</v>
      </c>
      <c r="D45" s="1074">
        <v>1140</v>
      </c>
      <c r="E45" s="1100">
        <v>20399</v>
      </c>
      <c r="F45" s="1069">
        <f>SUM(D45*E45)</f>
        <v>23254860</v>
      </c>
      <c r="H45" s="650"/>
    </row>
    <row r="46" spans="1:8" ht="33.75" customHeight="1" x14ac:dyDescent="0.2">
      <c r="A46" s="822"/>
      <c r="B46" s="1106"/>
      <c r="C46" s="1106" t="s">
        <v>1168</v>
      </c>
      <c r="D46" s="1107"/>
      <c r="E46" s="1100"/>
      <c r="F46" s="1108">
        <f>SUM(F43+F27+F15+F4)</f>
        <v>553794358</v>
      </c>
      <c r="H46" s="650"/>
    </row>
    <row r="47" spans="1:8" ht="27.75" customHeight="1" x14ac:dyDescent="0.2">
      <c r="A47" s="822"/>
      <c r="B47" s="1104"/>
      <c r="C47" s="1101" t="s">
        <v>30</v>
      </c>
      <c r="D47" s="1107"/>
      <c r="E47" s="1100"/>
      <c r="F47" s="1108">
        <f>SUM(F48:F49)</f>
        <v>11130714</v>
      </c>
      <c r="H47" s="650"/>
    </row>
    <row r="48" spans="1:8" ht="21" customHeight="1" x14ac:dyDescent="0.2">
      <c r="A48" s="822"/>
      <c r="B48" s="1104" t="s">
        <v>91</v>
      </c>
      <c r="C48" s="1091" t="s">
        <v>1169</v>
      </c>
      <c r="D48" s="1107"/>
      <c r="E48" s="1100"/>
      <c r="F48" s="1109">
        <v>10919928</v>
      </c>
      <c r="H48" s="650"/>
    </row>
    <row r="49" spans="1:8" s="648" customFormat="1" ht="21.75" customHeight="1" thickBot="1" x14ac:dyDescent="0.3">
      <c r="A49" s="818"/>
      <c r="B49" s="1104" t="s">
        <v>93</v>
      </c>
      <c r="C49" s="1091" t="s">
        <v>885</v>
      </c>
      <c r="D49" s="1072"/>
      <c r="E49" s="1110"/>
      <c r="F49" s="1109">
        <v>210786</v>
      </c>
    </row>
    <row r="50" spans="1:8" ht="27" customHeight="1" thickBot="1" x14ac:dyDescent="0.3">
      <c r="A50" s="1599" t="s">
        <v>1463</v>
      </c>
      <c r="B50" s="1600"/>
      <c r="C50" s="1600"/>
      <c r="D50" s="1601"/>
      <c r="E50" s="1602">
        <f>SUM(F49+F43+F27+F15+F4+F48)</f>
        <v>564925072</v>
      </c>
      <c r="F50" s="1603"/>
    </row>
    <row r="51" spans="1:8" ht="14.1" customHeight="1" thickBot="1" x14ac:dyDescent="0.25">
      <c r="A51" s="823"/>
      <c r="B51" s="824"/>
      <c r="C51" s="824"/>
      <c r="D51" s="825"/>
      <c r="E51" s="1604"/>
      <c r="F51" s="1605"/>
    </row>
    <row r="52" spans="1:8" x14ac:dyDescent="0.2">
      <c r="H52" s="826"/>
    </row>
    <row r="54" spans="1:8" x14ac:dyDescent="0.2">
      <c r="E54" s="1588"/>
      <c r="F54" s="1588"/>
    </row>
    <row r="56" spans="1:8" ht="15" customHeight="1" x14ac:dyDescent="0.2">
      <c r="E56" s="1589"/>
      <c r="F56" s="1589"/>
    </row>
    <row r="58" spans="1:8" x14ac:dyDescent="0.2">
      <c r="F58" s="647">
        <f>SUM(E56-E54)</f>
        <v>0</v>
      </c>
    </row>
  </sheetData>
  <mergeCells count="8">
    <mergeCell ref="E54:F54"/>
    <mergeCell ref="E56:F56"/>
    <mergeCell ref="A1:C2"/>
    <mergeCell ref="D1:F1"/>
    <mergeCell ref="C3:F3"/>
    <mergeCell ref="A50:D50"/>
    <mergeCell ref="E50:F50"/>
    <mergeCell ref="E51:F51"/>
  </mergeCells>
  <pageMargins left="0.15748031496062992" right="0" top="1.1811023622047245" bottom="0.55118110236220474" header="0.35433070866141736" footer="0.23622047244094491"/>
  <pageSetup paperSize="9" scale="97" firstPageNumber="101" orientation="portrait" horizontalDpi="300" verticalDpi="300" r:id="rId1"/>
  <headerFooter alignWithMargins="0">
    <oddHeader xml:space="preserve">&amp;C&amp;"Times New Roman,Félkövér"&amp;14
Vecsés Város Önkormányzat 2014. évi költségvetési működési támogatásának alakulása jogcímenként&amp;R&amp;"Arial,Normál"9. számú melléklet&amp;"Times New Roman CE,Normál"
</oddHeader>
    <oddFooter>&amp;C- &amp;P -</oddFooter>
  </headerFooter>
  <rowBreaks count="1" manualBreakCount="1">
    <brk id="37" max="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9"/>
  <sheetViews>
    <sheetView workbookViewId="0">
      <selection activeCell="B20" sqref="B20"/>
    </sheetView>
  </sheetViews>
  <sheetFormatPr defaultRowHeight="12.75" x14ac:dyDescent="0.2"/>
  <cols>
    <col min="1" max="1" width="54.6640625" style="879" customWidth="1"/>
    <col min="2" max="2" width="22.1640625" style="879" customWidth="1"/>
    <col min="3" max="3" width="19.6640625" style="879" customWidth="1"/>
    <col min="4" max="256" width="9.33203125" style="879"/>
    <col min="257" max="257" width="54.6640625" style="879" customWidth="1"/>
    <col min="258" max="258" width="22.1640625" style="879" customWidth="1"/>
    <col min="259" max="259" width="19.6640625" style="879" customWidth="1"/>
    <col min="260" max="512" width="9.33203125" style="879"/>
    <col min="513" max="513" width="54.6640625" style="879" customWidth="1"/>
    <col min="514" max="514" width="22.1640625" style="879" customWidth="1"/>
    <col min="515" max="515" width="19.6640625" style="879" customWidth="1"/>
    <col min="516" max="768" width="9.33203125" style="879"/>
    <col min="769" max="769" width="54.6640625" style="879" customWidth="1"/>
    <col min="770" max="770" width="22.1640625" style="879" customWidth="1"/>
    <col min="771" max="771" width="19.6640625" style="879" customWidth="1"/>
    <col min="772" max="1024" width="9.33203125" style="879"/>
    <col min="1025" max="1025" width="54.6640625" style="879" customWidth="1"/>
    <col min="1026" max="1026" width="22.1640625" style="879" customWidth="1"/>
    <col min="1027" max="1027" width="19.6640625" style="879" customWidth="1"/>
    <col min="1028" max="1280" width="9.33203125" style="879"/>
    <col min="1281" max="1281" width="54.6640625" style="879" customWidth="1"/>
    <col min="1282" max="1282" width="22.1640625" style="879" customWidth="1"/>
    <col min="1283" max="1283" width="19.6640625" style="879" customWidth="1"/>
    <col min="1284" max="1536" width="9.33203125" style="879"/>
    <col min="1537" max="1537" width="54.6640625" style="879" customWidth="1"/>
    <col min="1538" max="1538" width="22.1640625" style="879" customWidth="1"/>
    <col min="1539" max="1539" width="19.6640625" style="879" customWidth="1"/>
    <col min="1540" max="1792" width="9.33203125" style="879"/>
    <col min="1793" max="1793" width="54.6640625" style="879" customWidth="1"/>
    <col min="1794" max="1794" width="22.1640625" style="879" customWidth="1"/>
    <col min="1795" max="1795" width="19.6640625" style="879" customWidth="1"/>
    <col min="1796" max="2048" width="9.33203125" style="879"/>
    <col min="2049" max="2049" width="54.6640625" style="879" customWidth="1"/>
    <col min="2050" max="2050" width="22.1640625" style="879" customWidth="1"/>
    <col min="2051" max="2051" width="19.6640625" style="879" customWidth="1"/>
    <col min="2052" max="2304" width="9.33203125" style="879"/>
    <col min="2305" max="2305" width="54.6640625" style="879" customWidth="1"/>
    <col min="2306" max="2306" width="22.1640625" style="879" customWidth="1"/>
    <col min="2307" max="2307" width="19.6640625" style="879" customWidth="1"/>
    <col min="2308" max="2560" width="9.33203125" style="879"/>
    <col min="2561" max="2561" width="54.6640625" style="879" customWidth="1"/>
    <col min="2562" max="2562" width="22.1640625" style="879" customWidth="1"/>
    <col min="2563" max="2563" width="19.6640625" style="879" customWidth="1"/>
    <col min="2564" max="2816" width="9.33203125" style="879"/>
    <col min="2817" max="2817" width="54.6640625" style="879" customWidth="1"/>
    <col min="2818" max="2818" width="22.1640625" style="879" customWidth="1"/>
    <col min="2819" max="2819" width="19.6640625" style="879" customWidth="1"/>
    <col min="2820" max="3072" width="9.33203125" style="879"/>
    <col min="3073" max="3073" width="54.6640625" style="879" customWidth="1"/>
    <col min="3074" max="3074" width="22.1640625" style="879" customWidth="1"/>
    <col min="3075" max="3075" width="19.6640625" style="879" customWidth="1"/>
    <col min="3076" max="3328" width="9.33203125" style="879"/>
    <col min="3329" max="3329" width="54.6640625" style="879" customWidth="1"/>
    <col min="3330" max="3330" width="22.1640625" style="879" customWidth="1"/>
    <col min="3331" max="3331" width="19.6640625" style="879" customWidth="1"/>
    <col min="3332" max="3584" width="9.33203125" style="879"/>
    <col min="3585" max="3585" width="54.6640625" style="879" customWidth="1"/>
    <col min="3586" max="3586" width="22.1640625" style="879" customWidth="1"/>
    <col min="3587" max="3587" width="19.6640625" style="879" customWidth="1"/>
    <col min="3588" max="3840" width="9.33203125" style="879"/>
    <col min="3841" max="3841" width="54.6640625" style="879" customWidth="1"/>
    <col min="3842" max="3842" width="22.1640625" style="879" customWidth="1"/>
    <col min="3843" max="3843" width="19.6640625" style="879" customWidth="1"/>
    <col min="3844" max="4096" width="9.33203125" style="879"/>
    <col min="4097" max="4097" width="54.6640625" style="879" customWidth="1"/>
    <col min="4098" max="4098" width="22.1640625" style="879" customWidth="1"/>
    <col min="4099" max="4099" width="19.6640625" style="879" customWidth="1"/>
    <col min="4100" max="4352" width="9.33203125" style="879"/>
    <col min="4353" max="4353" width="54.6640625" style="879" customWidth="1"/>
    <col min="4354" max="4354" width="22.1640625" style="879" customWidth="1"/>
    <col min="4355" max="4355" width="19.6640625" style="879" customWidth="1"/>
    <col min="4356" max="4608" width="9.33203125" style="879"/>
    <col min="4609" max="4609" width="54.6640625" style="879" customWidth="1"/>
    <col min="4610" max="4610" width="22.1640625" style="879" customWidth="1"/>
    <col min="4611" max="4611" width="19.6640625" style="879" customWidth="1"/>
    <col min="4612" max="4864" width="9.33203125" style="879"/>
    <col min="4865" max="4865" width="54.6640625" style="879" customWidth="1"/>
    <col min="4866" max="4866" width="22.1640625" style="879" customWidth="1"/>
    <col min="4867" max="4867" width="19.6640625" style="879" customWidth="1"/>
    <col min="4868" max="5120" width="9.33203125" style="879"/>
    <col min="5121" max="5121" width="54.6640625" style="879" customWidth="1"/>
    <col min="5122" max="5122" width="22.1640625" style="879" customWidth="1"/>
    <col min="5123" max="5123" width="19.6640625" style="879" customWidth="1"/>
    <col min="5124" max="5376" width="9.33203125" style="879"/>
    <col min="5377" max="5377" width="54.6640625" style="879" customWidth="1"/>
    <col min="5378" max="5378" width="22.1640625" style="879" customWidth="1"/>
    <col min="5379" max="5379" width="19.6640625" style="879" customWidth="1"/>
    <col min="5380" max="5632" width="9.33203125" style="879"/>
    <col min="5633" max="5633" width="54.6640625" style="879" customWidth="1"/>
    <col min="5634" max="5634" width="22.1640625" style="879" customWidth="1"/>
    <col min="5635" max="5635" width="19.6640625" style="879" customWidth="1"/>
    <col min="5636" max="5888" width="9.33203125" style="879"/>
    <col min="5889" max="5889" width="54.6640625" style="879" customWidth="1"/>
    <col min="5890" max="5890" width="22.1640625" style="879" customWidth="1"/>
    <col min="5891" max="5891" width="19.6640625" style="879" customWidth="1"/>
    <col min="5892" max="6144" width="9.33203125" style="879"/>
    <col min="6145" max="6145" width="54.6640625" style="879" customWidth="1"/>
    <col min="6146" max="6146" width="22.1640625" style="879" customWidth="1"/>
    <col min="6147" max="6147" width="19.6640625" style="879" customWidth="1"/>
    <col min="6148" max="6400" width="9.33203125" style="879"/>
    <col min="6401" max="6401" width="54.6640625" style="879" customWidth="1"/>
    <col min="6402" max="6402" width="22.1640625" style="879" customWidth="1"/>
    <col min="6403" max="6403" width="19.6640625" style="879" customWidth="1"/>
    <col min="6404" max="6656" width="9.33203125" style="879"/>
    <col min="6657" max="6657" width="54.6640625" style="879" customWidth="1"/>
    <col min="6658" max="6658" width="22.1640625" style="879" customWidth="1"/>
    <col min="6659" max="6659" width="19.6640625" style="879" customWidth="1"/>
    <col min="6660" max="6912" width="9.33203125" style="879"/>
    <col min="6913" max="6913" width="54.6640625" style="879" customWidth="1"/>
    <col min="6914" max="6914" width="22.1640625" style="879" customWidth="1"/>
    <col min="6915" max="6915" width="19.6640625" style="879" customWidth="1"/>
    <col min="6916" max="7168" width="9.33203125" style="879"/>
    <col min="7169" max="7169" width="54.6640625" style="879" customWidth="1"/>
    <col min="7170" max="7170" width="22.1640625" style="879" customWidth="1"/>
    <col min="7171" max="7171" width="19.6640625" style="879" customWidth="1"/>
    <col min="7172" max="7424" width="9.33203125" style="879"/>
    <col min="7425" max="7425" width="54.6640625" style="879" customWidth="1"/>
    <col min="7426" max="7426" width="22.1640625" style="879" customWidth="1"/>
    <col min="7427" max="7427" width="19.6640625" style="879" customWidth="1"/>
    <col min="7428" max="7680" width="9.33203125" style="879"/>
    <col min="7681" max="7681" width="54.6640625" style="879" customWidth="1"/>
    <col min="7682" max="7682" width="22.1640625" style="879" customWidth="1"/>
    <col min="7683" max="7683" width="19.6640625" style="879" customWidth="1"/>
    <col min="7684" max="7936" width="9.33203125" style="879"/>
    <col min="7937" max="7937" width="54.6640625" style="879" customWidth="1"/>
    <col min="7938" max="7938" width="22.1640625" style="879" customWidth="1"/>
    <col min="7939" max="7939" width="19.6640625" style="879" customWidth="1"/>
    <col min="7940" max="8192" width="9.33203125" style="879"/>
    <col min="8193" max="8193" width="54.6640625" style="879" customWidth="1"/>
    <col min="8194" max="8194" width="22.1640625" style="879" customWidth="1"/>
    <col min="8195" max="8195" width="19.6640625" style="879" customWidth="1"/>
    <col min="8196" max="8448" width="9.33203125" style="879"/>
    <col min="8449" max="8449" width="54.6640625" style="879" customWidth="1"/>
    <col min="8450" max="8450" width="22.1640625" style="879" customWidth="1"/>
    <col min="8451" max="8451" width="19.6640625" style="879" customWidth="1"/>
    <col min="8452" max="8704" width="9.33203125" style="879"/>
    <col min="8705" max="8705" width="54.6640625" style="879" customWidth="1"/>
    <col min="8706" max="8706" width="22.1640625" style="879" customWidth="1"/>
    <col min="8707" max="8707" width="19.6640625" style="879" customWidth="1"/>
    <col min="8708" max="8960" width="9.33203125" style="879"/>
    <col min="8961" max="8961" width="54.6640625" style="879" customWidth="1"/>
    <col min="8962" max="8962" width="22.1640625" style="879" customWidth="1"/>
    <col min="8963" max="8963" width="19.6640625" style="879" customWidth="1"/>
    <col min="8964" max="9216" width="9.33203125" style="879"/>
    <col min="9217" max="9217" width="54.6640625" style="879" customWidth="1"/>
    <col min="9218" max="9218" width="22.1640625" style="879" customWidth="1"/>
    <col min="9219" max="9219" width="19.6640625" style="879" customWidth="1"/>
    <col min="9220" max="9472" width="9.33203125" style="879"/>
    <col min="9473" max="9473" width="54.6640625" style="879" customWidth="1"/>
    <col min="9474" max="9474" width="22.1640625" style="879" customWidth="1"/>
    <col min="9475" max="9475" width="19.6640625" style="879" customWidth="1"/>
    <col min="9476" max="9728" width="9.33203125" style="879"/>
    <col min="9729" max="9729" width="54.6640625" style="879" customWidth="1"/>
    <col min="9730" max="9730" width="22.1640625" style="879" customWidth="1"/>
    <col min="9731" max="9731" width="19.6640625" style="879" customWidth="1"/>
    <col min="9732" max="9984" width="9.33203125" style="879"/>
    <col min="9985" max="9985" width="54.6640625" style="879" customWidth="1"/>
    <col min="9986" max="9986" width="22.1640625" style="879" customWidth="1"/>
    <col min="9987" max="9987" width="19.6640625" style="879" customWidth="1"/>
    <col min="9988" max="10240" width="9.33203125" style="879"/>
    <col min="10241" max="10241" width="54.6640625" style="879" customWidth="1"/>
    <col min="10242" max="10242" width="22.1640625" style="879" customWidth="1"/>
    <col min="10243" max="10243" width="19.6640625" style="879" customWidth="1"/>
    <col min="10244" max="10496" width="9.33203125" style="879"/>
    <col min="10497" max="10497" width="54.6640625" style="879" customWidth="1"/>
    <col min="10498" max="10498" width="22.1640625" style="879" customWidth="1"/>
    <col min="10499" max="10499" width="19.6640625" style="879" customWidth="1"/>
    <col min="10500" max="10752" width="9.33203125" style="879"/>
    <col min="10753" max="10753" width="54.6640625" style="879" customWidth="1"/>
    <col min="10754" max="10754" width="22.1640625" style="879" customWidth="1"/>
    <col min="10755" max="10755" width="19.6640625" style="879" customWidth="1"/>
    <col min="10756" max="11008" width="9.33203125" style="879"/>
    <col min="11009" max="11009" width="54.6640625" style="879" customWidth="1"/>
    <col min="11010" max="11010" width="22.1640625" style="879" customWidth="1"/>
    <col min="11011" max="11011" width="19.6640625" style="879" customWidth="1"/>
    <col min="11012" max="11264" width="9.33203125" style="879"/>
    <col min="11265" max="11265" width="54.6640625" style="879" customWidth="1"/>
    <col min="11266" max="11266" width="22.1640625" style="879" customWidth="1"/>
    <col min="11267" max="11267" width="19.6640625" style="879" customWidth="1"/>
    <col min="11268" max="11520" width="9.33203125" style="879"/>
    <col min="11521" max="11521" width="54.6640625" style="879" customWidth="1"/>
    <col min="11522" max="11522" width="22.1640625" style="879" customWidth="1"/>
    <col min="11523" max="11523" width="19.6640625" style="879" customWidth="1"/>
    <col min="11524" max="11776" width="9.33203125" style="879"/>
    <col min="11777" max="11777" width="54.6640625" style="879" customWidth="1"/>
    <col min="11778" max="11778" width="22.1640625" style="879" customWidth="1"/>
    <col min="11779" max="11779" width="19.6640625" style="879" customWidth="1"/>
    <col min="11780" max="12032" width="9.33203125" style="879"/>
    <col min="12033" max="12033" width="54.6640625" style="879" customWidth="1"/>
    <col min="12034" max="12034" width="22.1640625" style="879" customWidth="1"/>
    <col min="12035" max="12035" width="19.6640625" style="879" customWidth="1"/>
    <col min="12036" max="12288" width="9.33203125" style="879"/>
    <col min="12289" max="12289" width="54.6640625" style="879" customWidth="1"/>
    <col min="12290" max="12290" width="22.1640625" style="879" customWidth="1"/>
    <col min="12291" max="12291" width="19.6640625" style="879" customWidth="1"/>
    <col min="12292" max="12544" width="9.33203125" style="879"/>
    <col min="12545" max="12545" width="54.6640625" style="879" customWidth="1"/>
    <col min="12546" max="12546" width="22.1640625" style="879" customWidth="1"/>
    <col min="12547" max="12547" width="19.6640625" style="879" customWidth="1"/>
    <col min="12548" max="12800" width="9.33203125" style="879"/>
    <col min="12801" max="12801" width="54.6640625" style="879" customWidth="1"/>
    <col min="12802" max="12802" width="22.1640625" style="879" customWidth="1"/>
    <col min="12803" max="12803" width="19.6640625" style="879" customWidth="1"/>
    <col min="12804" max="13056" width="9.33203125" style="879"/>
    <col min="13057" max="13057" width="54.6640625" style="879" customWidth="1"/>
    <col min="13058" max="13058" width="22.1640625" style="879" customWidth="1"/>
    <col min="13059" max="13059" width="19.6640625" style="879" customWidth="1"/>
    <col min="13060" max="13312" width="9.33203125" style="879"/>
    <col min="13313" max="13313" width="54.6640625" style="879" customWidth="1"/>
    <col min="13314" max="13314" width="22.1640625" style="879" customWidth="1"/>
    <col min="13315" max="13315" width="19.6640625" style="879" customWidth="1"/>
    <col min="13316" max="13568" width="9.33203125" style="879"/>
    <col min="13569" max="13569" width="54.6640625" style="879" customWidth="1"/>
    <col min="13570" max="13570" width="22.1640625" style="879" customWidth="1"/>
    <col min="13571" max="13571" width="19.6640625" style="879" customWidth="1"/>
    <col min="13572" max="13824" width="9.33203125" style="879"/>
    <col min="13825" max="13825" width="54.6640625" style="879" customWidth="1"/>
    <col min="13826" max="13826" width="22.1640625" style="879" customWidth="1"/>
    <col min="13827" max="13827" width="19.6640625" style="879" customWidth="1"/>
    <col min="13828" max="14080" width="9.33203125" style="879"/>
    <col min="14081" max="14081" width="54.6640625" style="879" customWidth="1"/>
    <col min="14082" max="14082" width="22.1640625" style="879" customWidth="1"/>
    <col min="14083" max="14083" width="19.6640625" style="879" customWidth="1"/>
    <col min="14084" max="14336" width="9.33203125" style="879"/>
    <col min="14337" max="14337" width="54.6640625" style="879" customWidth="1"/>
    <col min="14338" max="14338" width="22.1640625" style="879" customWidth="1"/>
    <col min="14339" max="14339" width="19.6640625" style="879" customWidth="1"/>
    <col min="14340" max="14592" width="9.33203125" style="879"/>
    <col min="14593" max="14593" width="54.6640625" style="879" customWidth="1"/>
    <col min="14594" max="14594" width="22.1640625" style="879" customWidth="1"/>
    <col min="14595" max="14595" width="19.6640625" style="879" customWidth="1"/>
    <col min="14596" max="14848" width="9.33203125" style="879"/>
    <col min="14849" max="14849" width="54.6640625" style="879" customWidth="1"/>
    <col min="14850" max="14850" width="22.1640625" style="879" customWidth="1"/>
    <col min="14851" max="14851" width="19.6640625" style="879" customWidth="1"/>
    <col min="14852" max="15104" width="9.33203125" style="879"/>
    <col min="15105" max="15105" width="54.6640625" style="879" customWidth="1"/>
    <col min="15106" max="15106" width="22.1640625" style="879" customWidth="1"/>
    <col min="15107" max="15107" width="19.6640625" style="879" customWidth="1"/>
    <col min="15108" max="15360" width="9.33203125" style="879"/>
    <col min="15361" max="15361" width="54.6640625" style="879" customWidth="1"/>
    <col min="15362" max="15362" width="22.1640625" style="879" customWidth="1"/>
    <col min="15363" max="15363" width="19.6640625" style="879" customWidth="1"/>
    <col min="15364" max="15616" width="9.33203125" style="879"/>
    <col min="15617" max="15617" width="54.6640625" style="879" customWidth="1"/>
    <col min="15618" max="15618" width="22.1640625" style="879" customWidth="1"/>
    <col min="15619" max="15619" width="19.6640625" style="879" customWidth="1"/>
    <col min="15620" max="15872" width="9.33203125" style="879"/>
    <col min="15873" max="15873" width="54.6640625" style="879" customWidth="1"/>
    <col min="15874" max="15874" width="22.1640625" style="879" customWidth="1"/>
    <col min="15875" max="15875" width="19.6640625" style="879" customWidth="1"/>
    <col min="15876" max="16128" width="9.33203125" style="879"/>
    <col min="16129" max="16129" width="54.6640625" style="879" customWidth="1"/>
    <col min="16130" max="16130" width="22.1640625" style="879" customWidth="1"/>
    <col min="16131" max="16131" width="19.6640625" style="879" customWidth="1"/>
    <col min="16132" max="16384" width="9.33203125" style="879"/>
  </cols>
  <sheetData>
    <row r="1" spans="1:3" ht="15.75" x14ac:dyDescent="0.25">
      <c r="A1" s="880"/>
    </row>
    <row r="2" spans="1:3" ht="15.75" thickBot="1" x14ac:dyDescent="0.25">
      <c r="A2" s="881"/>
    </row>
    <row r="3" spans="1:3" ht="14.25" x14ac:dyDescent="0.2">
      <c r="A3" s="882"/>
      <c r="B3" s="883"/>
      <c r="C3" s="884"/>
    </row>
    <row r="4" spans="1:3" ht="15" x14ac:dyDescent="0.25">
      <c r="A4" s="885" t="s">
        <v>1177</v>
      </c>
      <c r="B4" s="886"/>
      <c r="C4" s="887"/>
    </row>
    <row r="5" spans="1:3" ht="14.25" x14ac:dyDescent="0.2">
      <c r="A5" s="888" t="s">
        <v>1178</v>
      </c>
      <c r="B5" s="886"/>
      <c r="C5" s="887"/>
    </row>
    <row r="6" spans="1:3" ht="14.85" customHeight="1" x14ac:dyDescent="0.25">
      <c r="A6" s="888"/>
      <c r="B6" s="889" t="s">
        <v>1179</v>
      </c>
      <c r="C6" s="890" t="s">
        <v>1180</v>
      </c>
    </row>
    <row r="7" spans="1:3" ht="14.85" customHeight="1" x14ac:dyDescent="0.2">
      <c r="A7" s="888"/>
      <c r="B7" s="891"/>
      <c r="C7" s="892"/>
    </row>
    <row r="8" spans="1:3" ht="16.7" customHeight="1" x14ac:dyDescent="0.2">
      <c r="A8" s="893" t="s">
        <v>1194</v>
      </c>
      <c r="B8" s="894" t="s">
        <v>1195</v>
      </c>
      <c r="C8" s="900" t="s">
        <v>1188</v>
      </c>
    </row>
    <row r="9" spans="1:3" ht="16.7" customHeight="1" x14ac:dyDescent="0.2">
      <c r="A9" s="899" t="s">
        <v>1187</v>
      </c>
      <c r="B9" s="894" t="s">
        <v>1189</v>
      </c>
      <c r="C9" s="895" t="s">
        <v>1190</v>
      </c>
    </row>
    <row r="10" spans="1:3" ht="33.75" customHeight="1" x14ac:dyDescent="0.2">
      <c r="A10" s="904" t="s">
        <v>1196</v>
      </c>
      <c r="B10" s="894" t="s">
        <v>1191</v>
      </c>
      <c r="C10" s="900" t="s">
        <v>1192</v>
      </c>
    </row>
    <row r="11" spans="1:3" ht="16.7" customHeight="1" x14ac:dyDescent="0.2">
      <c r="A11" s="893" t="s">
        <v>1197</v>
      </c>
      <c r="B11" s="894" t="s">
        <v>1199</v>
      </c>
      <c r="C11" s="900">
        <v>1315</v>
      </c>
    </row>
    <row r="12" spans="1:3" ht="16.7" customHeight="1" x14ac:dyDescent="0.2">
      <c r="A12" s="893" t="s">
        <v>1197</v>
      </c>
      <c r="B12" s="894" t="s">
        <v>1200</v>
      </c>
      <c r="C12" s="900">
        <v>1044</v>
      </c>
    </row>
    <row r="13" spans="1:3" ht="16.7" customHeight="1" x14ac:dyDescent="0.2">
      <c r="A13" s="893" t="s">
        <v>1197</v>
      </c>
      <c r="B13" s="894" t="s">
        <v>1201</v>
      </c>
      <c r="C13" s="900">
        <v>2508</v>
      </c>
    </row>
    <row r="14" spans="1:3" ht="16.7" customHeight="1" x14ac:dyDescent="0.2">
      <c r="A14" s="893" t="s">
        <v>1198</v>
      </c>
      <c r="B14" s="894" t="s">
        <v>1193</v>
      </c>
      <c r="C14" s="900">
        <v>2836</v>
      </c>
    </row>
    <row r="15" spans="1:3" ht="16.7" customHeight="1" x14ac:dyDescent="0.2">
      <c r="A15" s="1608" t="s">
        <v>1181</v>
      </c>
      <c r="B15" s="896" t="s">
        <v>1182</v>
      </c>
      <c r="C15" s="1610" t="s">
        <v>1183</v>
      </c>
    </row>
    <row r="16" spans="1:3" ht="16.7" customHeight="1" x14ac:dyDescent="0.2">
      <c r="A16" s="1609"/>
      <c r="B16" s="897" t="s">
        <v>1184</v>
      </c>
      <c r="C16" s="1611"/>
    </row>
    <row r="17" spans="1:3" ht="16.7" customHeight="1" x14ac:dyDescent="0.2">
      <c r="A17" s="1057"/>
      <c r="B17" s="1058"/>
      <c r="C17" s="1059"/>
    </row>
    <row r="18" spans="1:3" ht="16.7" customHeight="1" x14ac:dyDescent="0.2">
      <c r="A18" s="1057"/>
      <c r="B18" s="1058"/>
      <c r="C18" s="1059"/>
    </row>
    <row r="19" spans="1:3" ht="16.7" customHeight="1" x14ac:dyDescent="0.25">
      <c r="A19" s="898" t="s">
        <v>1208</v>
      </c>
      <c r="B19" s="1606" t="s">
        <v>1438</v>
      </c>
      <c r="C19" s="1607"/>
    </row>
    <row r="20" spans="1:3" ht="16.7" customHeight="1" x14ac:dyDescent="0.2">
      <c r="A20" s="893"/>
      <c r="B20" s="894"/>
      <c r="C20" s="895"/>
    </row>
    <row r="21" spans="1:3" ht="16.7" customHeight="1" x14ac:dyDescent="0.2">
      <c r="A21" s="893"/>
      <c r="B21" s="894"/>
      <c r="C21" s="895"/>
    </row>
    <row r="22" spans="1:3" ht="16.7" customHeight="1" x14ac:dyDescent="0.2">
      <c r="A22" s="893"/>
      <c r="B22" s="894"/>
      <c r="C22" s="895"/>
    </row>
    <row r="23" spans="1:3" ht="16.7" customHeight="1" x14ac:dyDescent="0.25">
      <c r="A23" s="885" t="s">
        <v>1186</v>
      </c>
      <c r="B23" s="894"/>
      <c r="C23" s="895"/>
    </row>
    <row r="24" spans="1:3" ht="16.7" customHeight="1" x14ac:dyDescent="0.2">
      <c r="A24" s="898"/>
      <c r="B24" s="894"/>
      <c r="C24" s="895"/>
    </row>
    <row r="25" spans="1:3" ht="16.7" customHeight="1" x14ac:dyDescent="0.2">
      <c r="A25" s="899"/>
      <c r="B25" s="891"/>
      <c r="C25" s="895"/>
    </row>
    <row r="26" spans="1:3" ht="16.7" customHeight="1" x14ac:dyDescent="0.2">
      <c r="A26" s="899" t="s">
        <v>1202</v>
      </c>
      <c r="B26" s="894"/>
      <c r="C26" s="895" t="s">
        <v>1185</v>
      </c>
    </row>
    <row r="27" spans="1:3" ht="16.7" customHeight="1" x14ac:dyDescent="0.2">
      <c r="A27" s="899" t="s">
        <v>1203</v>
      </c>
      <c r="B27" s="894" t="s">
        <v>1204</v>
      </c>
      <c r="C27" s="895" t="s">
        <v>1205</v>
      </c>
    </row>
    <row r="28" spans="1:3" ht="14.85" customHeight="1" x14ac:dyDescent="0.2">
      <c r="A28" s="901"/>
      <c r="B28" s="902"/>
      <c r="C28" s="902"/>
    </row>
    <row r="29" spans="1:3" ht="14.85" customHeight="1" x14ac:dyDescent="0.2">
      <c r="A29" s="901"/>
      <c r="B29" s="902"/>
      <c r="C29" s="902"/>
    </row>
    <row r="30" spans="1:3" ht="14.85" customHeight="1" x14ac:dyDescent="0.2">
      <c r="A30" s="901"/>
      <c r="B30" s="902"/>
      <c r="C30" s="902"/>
    </row>
    <row r="31" spans="1:3" ht="14.85" customHeight="1" x14ac:dyDescent="0.2">
      <c r="A31" s="901"/>
      <c r="B31" s="902"/>
      <c r="C31" s="902"/>
    </row>
    <row r="32" spans="1:3" ht="14.85" customHeight="1" x14ac:dyDescent="0.2">
      <c r="A32" s="901"/>
      <c r="B32" s="902"/>
      <c r="C32" s="902"/>
    </row>
    <row r="33" spans="1:3" ht="14.85" customHeight="1" x14ac:dyDescent="0.2">
      <c r="A33" s="901"/>
      <c r="B33" s="902"/>
      <c r="C33" s="902"/>
    </row>
    <row r="34" spans="1:3" ht="14.85" customHeight="1" x14ac:dyDescent="0.2">
      <c r="A34" s="901"/>
      <c r="B34" s="902"/>
      <c r="C34" s="902"/>
    </row>
    <row r="35" spans="1:3" x14ac:dyDescent="0.2">
      <c r="A35" s="901"/>
      <c r="B35" s="902"/>
      <c r="C35" s="902"/>
    </row>
    <row r="36" spans="1:3" x14ac:dyDescent="0.2">
      <c r="A36" s="901"/>
      <c r="B36" s="902"/>
      <c r="C36" s="902"/>
    </row>
    <row r="37" spans="1:3" x14ac:dyDescent="0.2">
      <c r="A37" s="901"/>
      <c r="B37" s="902"/>
      <c r="C37" s="902"/>
    </row>
    <row r="38" spans="1:3" x14ac:dyDescent="0.2">
      <c r="A38" s="901"/>
      <c r="B38" s="902"/>
      <c r="C38" s="902"/>
    </row>
    <row r="39" spans="1:3" x14ac:dyDescent="0.2">
      <c r="A39" s="901"/>
      <c r="B39" s="902"/>
      <c r="C39" s="902"/>
    </row>
    <row r="40" spans="1:3" x14ac:dyDescent="0.2">
      <c r="A40" s="901"/>
      <c r="B40" s="902"/>
      <c r="C40" s="902"/>
    </row>
    <row r="41" spans="1:3" x14ac:dyDescent="0.2">
      <c r="A41" s="901"/>
      <c r="B41" s="902"/>
      <c r="C41" s="902"/>
    </row>
    <row r="42" spans="1:3" x14ac:dyDescent="0.2">
      <c r="A42" s="901"/>
      <c r="B42" s="902"/>
      <c r="C42" s="902"/>
    </row>
    <row r="43" spans="1:3" x14ac:dyDescent="0.2">
      <c r="A43" s="901"/>
      <c r="B43" s="902"/>
      <c r="C43" s="902"/>
    </row>
    <row r="44" spans="1:3" x14ac:dyDescent="0.2">
      <c r="A44" s="901"/>
      <c r="B44" s="902"/>
      <c r="C44" s="902"/>
    </row>
    <row r="45" spans="1:3" x14ac:dyDescent="0.2">
      <c r="A45" s="901"/>
      <c r="B45" s="902"/>
      <c r="C45" s="902"/>
    </row>
    <row r="46" spans="1:3" x14ac:dyDescent="0.2">
      <c r="A46" s="901"/>
      <c r="B46" s="902"/>
      <c r="C46" s="902"/>
    </row>
    <row r="47" spans="1:3" x14ac:dyDescent="0.2">
      <c r="A47" s="901"/>
      <c r="B47" s="902"/>
      <c r="C47" s="902"/>
    </row>
    <row r="48" spans="1:3" x14ac:dyDescent="0.2">
      <c r="A48" s="901"/>
      <c r="B48" s="902"/>
      <c r="C48" s="902"/>
    </row>
    <row r="49" spans="1:3" x14ac:dyDescent="0.2">
      <c r="A49" s="901"/>
      <c r="B49" s="902"/>
      <c r="C49" s="902"/>
    </row>
    <row r="50" spans="1:3" x14ac:dyDescent="0.2">
      <c r="A50" s="901"/>
      <c r="B50" s="902"/>
      <c r="C50" s="902"/>
    </row>
    <row r="51" spans="1:3" x14ac:dyDescent="0.2">
      <c r="A51" s="901"/>
      <c r="B51" s="902"/>
      <c r="C51" s="902"/>
    </row>
    <row r="52" spans="1:3" x14ac:dyDescent="0.2">
      <c r="A52" s="901"/>
      <c r="B52" s="902"/>
      <c r="C52" s="902"/>
    </row>
    <row r="53" spans="1:3" x14ac:dyDescent="0.2">
      <c r="A53" s="901"/>
      <c r="B53" s="902"/>
      <c r="C53" s="902"/>
    </row>
    <row r="54" spans="1:3" x14ac:dyDescent="0.2">
      <c r="A54" s="901"/>
      <c r="B54" s="902"/>
      <c r="C54" s="902"/>
    </row>
    <row r="55" spans="1:3" x14ac:dyDescent="0.2">
      <c r="A55" s="901"/>
      <c r="B55" s="902"/>
      <c r="C55" s="902"/>
    </row>
    <row r="56" spans="1:3" x14ac:dyDescent="0.2">
      <c r="A56" s="901"/>
      <c r="B56" s="902"/>
      <c r="C56" s="902"/>
    </row>
    <row r="57" spans="1:3" x14ac:dyDescent="0.2">
      <c r="A57" s="901"/>
      <c r="B57" s="902"/>
      <c r="C57" s="902"/>
    </row>
    <row r="58" spans="1:3" x14ac:dyDescent="0.2">
      <c r="A58" s="902"/>
      <c r="B58" s="902"/>
      <c r="C58" s="902"/>
    </row>
    <row r="59" spans="1:3" x14ac:dyDescent="0.2">
      <c r="A59" s="902"/>
      <c r="B59" s="902"/>
      <c r="C59" s="902"/>
    </row>
    <row r="60" spans="1:3" x14ac:dyDescent="0.2">
      <c r="A60" s="902"/>
      <c r="B60" s="902"/>
      <c r="C60" s="902"/>
    </row>
    <row r="61" spans="1:3" x14ac:dyDescent="0.2">
      <c r="A61" s="902"/>
      <c r="B61" s="902"/>
      <c r="C61" s="902"/>
    </row>
    <row r="62" spans="1:3" x14ac:dyDescent="0.2">
      <c r="A62" s="902"/>
      <c r="B62" s="902"/>
      <c r="C62" s="902"/>
    </row>
    <row r="63" spans="1:3" x14ac:dyDescent="0.2">
      <c r="A63" s="902"/>
      <c r="B63" s="902"/>
      <c r="C63" s="902"/>
    </row>
    <row r="64" spans="1:3" x14ac:dyDescent="0.2">
      <c r="A64" s="902"/>
      <c r="B64" s="902"/>
      <c r="C64" s="902"/>
    </row>
    <row r="65" spans="1:3" x14ac:dyDescent="0.2">
      <c r="A65" s="902"/>
      <c r="B65" s="902"/>
      <c r="C65" s="902"/>
    </row>
    <row r="66" spans="1:3" x14ac:dyDescent="0.2">
      <c r="A66" s="902"/>
      <c r="B66" s="902"/>
      <c r="C66" s="902"/>
    </row>
    <row r="67" spans="1:3" x14ac:dyDescent="0.2">
      <c r="A67" s="902"/>
      <c r="B67" s="902"/>
      <c r="C67" s="902"/>
    </row>
    <row r="68" spans="1:3" x14ac:dyDescent="0.2">
      <c r="A68" s="902"/>
      <c r="B68" s="902"/>
      <c r="C68" s="902"/>
    </row>
    <row r="69" spans="1:3" x14ac:dyDescent="0.2">
      <c r="A69" s="902"/>
      <c r="B69" s="902"/>
      <c r="C69" s="902"/>
    </row>
    <row r="70" spans="1:3" x14ac:dyDescent="0.2">
      <c r="A70" s="902"/>
      <c r="B70" s="902"/>
      <c r="C70" s="902"/>
    </row>
    <row r="71" spans="1:3" x14ac:dyDescent="0.2">
      <c r="A71" s="902"/>
      <c r="B71" s="902"/>
      <c r="C71" s="902"/>
    </row>
    <row r="72" spans="1:3" x14ac:dyDescent="0.2">
      <c r="A72" s="902"/>
      <c r="B72" s="902"/>
      <c r="C72" s="902"/>
    </row>
    <row r="73" spans="1:3" x14ac:dyDescent="0.2">
      <c r="A73" s="902"/>
      <c r="B73" s="902"/>
      <c r="C73" s="902"/>
    </row>
    <row r="74" spans="1:3" x14ac:dyDescent="0.2">
      <c r="A74" s="902"/>
      <c r="B74" s="902"/>
      <c r="C74" s="902"/>
    </row>
    <row r="75" spans="1:3" x14ac:dyDescent="0.2">
      <c r="A75" s="902"/>
      <c r="B75" s="902"/>
      <c r="C75" s="902"/>
    </row>
    <row r="76" spans="1:3" x14ac:dyDescent="0.2">
      <c r="A76" s="902"/>
      <c r="B76" s="902"/>
      <c r="C76" s="902"/>
    </row>
    <row r="77" spans="1:3" x14ac:dyDescent="0.2">
      <c r="A77" s="902"/>
      <c r="B77" s="902"/>
      <c r="C77" s="902"/>
    </row>
    <row r="78" spans="1:3" x14ac:dyDescent="0.2">
      <c r="A78" s="902"/>
      <c r="B78" s="902"/>
      <c r="C78" s="902"/>
    </row>
    <row r="79" spans="1:3" x14ac:dyDescent="0.2">
      <c r="A79" s="902"/>
      <c r="B79" s="902"/>
      <c r="C79" s="902"/>
    </row>
    <row r="80" spans="1:3" x14ac:dyDescent="0.2">
      <c r="A80" s="902"/>
      <c r="B80" s="902"/>
      <c r="C80" s="902"/>
    </row>
    <row r="81" spans="1:3" x14ac:dyDescent="0.2">
      <c r="A81" s="902"/>
      <c r="B81" s="902"/>
      <c r="C81" s="902"/>
    </row>
    <row r="82" spans="1:3" x14ac:dyDescent="0.2">
      <c r="A82" s="902"/>
      <c r="B82" s="902"/>
      <c r="C82" s="902"/>
    </row>
    <row r="83" spans="1:3" x14ac:dyDescent="0.2">
      <c r="A83" s="902"/>
      <c r="B83" s="902"/>
      <c r="C83" s="902"/>
    </row>
    <row r="84" spans="1:3" x14ac:dyDescent="0.2">
      <c r="A84" s="902"/>
      <c r="B84" s="902"/>
      <c r="C84" s="902"/>
    </row>
    <row r="85" spans="1:3" x14ac:dyDescent="0.2">
      <c r="A85" s="902"/>
      <c r="B85" s="902"/>
      <c r="C85" s="902"/>
    </row>
    <row r="86" spans="1:3" x14ac:dyDescent="0.2">
      <c r="A86" s="902"/>
      <c r="B86" s="902"/>
      <c r="C86" s="902"/>
    </row>
    <row r="87" spans="1:3" x14ac:dyDescent="0.2">
      <c r="A87" s="902"/>
      <c r="B87" s="902"/>
      <c r="C87" s="902"/>
    </row>
    <row r="88" spans="1:3" x14ac:dyDescent="0.2">
      <c r="A88" s="902"/>
      <c r="B88" s="902"/>
      <c r="C88" s="902"/>
    </row>
    <row r="89" spans="1:3" x14ac:dyDescent="0.2">
      <c r="A89" s="902"/>
      <c r="B89" s="902"/>
      <c r="C89" s="902"/>
    </row>
    <row r="90" spans="1:3" x14ac:dyDescent="0.2">
      <c r="A90" s="902"/>
      <c r="B90" s="902"/>
      <c r="C90" s="902"/>
    </row>
    <row r="91" spans="1:3" x14ac:dyDescent="0.2">
      <c r="A91" s="902"/>
      <c r="B91" s="902"/>
      <c r="C91" s="902"/>
    </row>
    <row r="92" spans="1:3" x14ac:dyDescent="0.2">
      <c r="A92" s="902"/>
      <c r="B92" s="902"/>
      <c r="C92" s="902"/>
    </row>
    <row r="93" spans="1:3" x14ac:dyDescent="0.2">
      <c r="A93" s="902"/>
      <c r="B93" s="902"/>
      <c r="C93" s="902"/>
    </row>
    <row r="94" spans="1:3" x14ac:dyDescent="0.2">
      <c r="A94" s="902"/>
      <c r="B94" s="902"/>
      <c r="C94" s="902"/>
    </row>
    <row r="95" spans="1:3" x14ac:dyDescent="0.2">
      <c r="A95" s="902"/>
      <c r="B95" s="902"/>
      <c r="C95" s="902"/>
    </row>
    <row r="96" spans="1:3" x14ac:dyDescent="0.2">
      <c r="A96" s="902"/>
      <c r="B96" s="903"/>
    </row>
    <row r="97" spans="1:2" x14ac:dyDescent="0.2">
      <c r="A97" s="902"/>
      <c r="B97" s="903"/>
    </row>
    <row r="98" spans="1:2" x14ac:dyDescent="0.2">
      <c r="A98" s="902"/>
      <c r="B98" s="903"/>
    </row>
    <row r="99" spans="1:2" x14ac:dyDescent="0.2">
      <c r="A99" s="902"/>
      <c r="B99" s="903"/>
    </row>
    <row r="100" spans="1:2" x14ac:dyDescent="0.2">
      <c r="A100" s="902"/>
      <c r="B100" s="903"/>
    </row>
    <row r="101" spans="1:2" x14ac:dyDescent="0.2">
      <c r="A101" s="902"/>
      <c r="B101" s="903"/>
    </row>
    <row r="102" spans="1:2" x14ac:dyDescent="0.2">
      <c r="A102" s="902"/>
      <c r="B102" s="903"/>
    </row>
    <row r="103" spans="1:2" x14ac:dyDescent="0.2">
      <c r="A103" s="902"/>
      <c r="B103" s="903"/>
    </row>
    <row r="104" spans="1:2" x14ac:dyDescent="0.2">
      <c r="A104" s="902"/>
      <c r="B104" s="903"/>
    </row>
    <row r="105" spans="1:2" x14ac:dyDescent="0.2">
      <c r="A105" s="902"/>
      <c r="B105" s="903"/>
    </row>
    <row r="106" spans="1:2" x14ac:dyDescent="0.2">
      <c r="A106" s="902"/>
      <c r="B106" s="903"/>
    </row>
    <row r="107" spans="1:2" x14ac:dyDescent="0.2">
      <c r="A107" s="902"/>
      <c r="B107" s="903"/>
    </row>
    <row r="108" spans="1:2" x14ac:dyDescent="0.2">
      <c r="A108" s="902"/>
      <c r="B108" s="903"/>
    </row>
    <row r="109" spans="1:2" x14ac:dyDescent="0.2">
      <c r="A109" s="902"/>
      <c r="B109" s="903"/>
    </row>
    <row r="110" spans="1:2" x14ac:dyDescent="0.2">
      <c r="A110" s="902"/>
      <c r="B110" s="903"/>
    </row>
    <row r="111" spans="1:2" x14ac:dyDescent="0.2">
      <c r="A111" s="902"/>
      <c r="B111" s="903"/>
    </row>
    <row r="112" spans="1:2" x14ac:dyDescent="0.2">
      <c r="A112" s="902"/>
      <c r="B112" s="903"/>
    </row>
    <row r="113" spans="1:2" x14ac:dyDescent="0.2">
      <c r="A113" s="902"/>
      <c r="B113" s="903"/>
    </row>
    <row r="114" spans="1:2" x14ac:dyDescent="0.2">
      <c r="A114" s="902"/>
      <c r="B114" s="903"/>
    </row>
    <row r="115" spans="1:2" x14ac:dyDescent="0.2">
      <c r="A115" s="902"/>
      <c r="B115" s="903"/>
    </row>
    <row r="116" spans="1:2" x14ac:dyDescent="0.2">
      <c r="A116" s="902"/>
      <c r="B116" s="903"/>
    </row>
    <row r="117" spans="1:2" x14ac:dyDescent="0.2">
      <c r="A117" s="902"/>
      <c r="B117" s="903"/>
    </row>
    <row r="118" spans="1:2" x14ac:dyDescent="0.2">
      <c r="A118" s="902"/>
      <c r="B118" s="903"/>
    </row>
    <row r="119" spans="1:2" x14ac:dyDescent="0.2">
      <c r="A119" s="902"/>
      <c r="B119" s="903"/>
    </row>
    <row r="120" spans="1:2" x14ac:dyDescent="0.2">
      <c r="A120" s="902"/>
      <c r="B120" s="903"/>
    </row>
    <row r="121" spans="1:2" x14ac:dyDescent="0.2">
      <c r="A121" s="902"/>
      <c r="B121" s="903"/>
    </row>
    <row r="122" spans="1:2" x14ac:dyDescent="0.2">
      <c r="A122" s="902"/>
      <c r="B122" s="903"/>
    </row>
    <row r="123" spans="1:2" x14ac:dyDescent="0.2">
      <c r="A123" s="902"/>
      <c r="B123" s="903"/>
    </row>
    <row r="124" spans="1:2" x14ac:dyDescent="0.2">
      <c r="A124" s="902"/>
      <c r="B124" s="903"/>
    </row>
    <row r="125" spans="1:2" x14ac:dyDescent="0.2">
      <c r="A125" s="902"/>
      <c r="B125" s="903"/>
    </row>
    <row r="126" spans="1:2" x14ac:dyDescent="0.2">
      <c r="A126" s="902"/>
      <c r="B126" s="903"/>
    </row>
    <row r="127" spans="1:2" x14ac:dyDescent="0.2">
      <c r="A127" s="902"/>
      <c r="B127" s="903"/>
    </row>
    <row r="128" spans="1:2" x14ac:dyDescent="0.2">
      <c r="A128" s="902"/>
      <c r="B128" s="903"/>
    </row>
    <row r="129" spans="1:2" x14ac:dyDescent="0.2">
      <c r="A129" s="902"/>
      <c r="B129" s="903"/>
    </row>
    <row r="130" spans="1:2" x14ac:dyDescent="0.2">
      <c r="A130" s="902"/>
      <c r="B130" s="903"/>
    </row>
    <row r="131" spans="1:2" x14ac:dyDescent="0.2">
      <c r="A131" s="902"/>
      <c r="B131" s="903"/>
    </row>
    <row r="132" spans="1:2" x14ac:dyDescent="0.2">
      <c r="A132" s="902"/>
      <c r="B132" s="903"/>
    </row>
    <row r="133" spans="1:2" x14ac:dyDescent="0.2">
      <c r="A133" s="902"/>
      <c r="B133" s="903"/>
    </row>
    <row r="134" spans="1:2" x14ac:dyDescent="0.2">
      <c r="A134" s="902"/>
      <c r="B134" s="903"/>
    </row>
    <row r="135" spans="1:2" x14ac:dyDescent="0.2">
      <c r="A135" s="902"/>
      <c r="B135" s="903"/>
    </row>
    <row r="136" spans="1:2" x14ac:dyDescent="0.2">
      <c r="A136" s="902"/>
      <c r="B136" s="903"/>
    </row>
    <row r="137" spans="1:2" x14ac:dyDescent="0.2">
      <c r="A137" s="902"/>
      <c r="B137" s="903"/>
    </row>
    <row r="138" spans="1:2" x14ac:dyDescent="0.2">
      <c r="A138" s="902"/>
      <c r="B138" s="903"/>
    </row>
    <row r="139" spans="1:2" x14ac:dyDescent="0.2">
      <c r="A139" s="902"/>
      <c r="B139" s="903"/>
    </row>
    <row r="140" spans="1:2" x14ac:dyDescent="0.2">
      <c r="A140" s="902"/>
      <c r="B140" s="903"/>
    </row>
    <row r="141" spans="1:2" x14ac:dyDescent="0.2">
      <c r="A141" s="902"/>
      <c r="B141" s="903"/>
    </row>
    <row r="142" spans="1:2" x14ac:dyDescent="0.2">
      <c r="A142" s="902"/>
      <c r="B142" s="903"/>
    </row>
    <row r="143" spans="1:2" x14ac:dyDescent="0.2">
      <c r="A143" s="902"/>
      <c r="B143" s="903"/>
    </row>
    <row r="144" spans="1:2" x14ac:dyDescent="0.2">
      <c r="A144" s="902"/>
      <c r="B144" s="903"/>
    </row>
    <row r="145" spans="1:2" x14ac:dyDescent="0.2">
      <c r="A145" s="902"/>
      <c r="B145" s="903"/>
    </row>
    <row r="146" spans="1:2" x14ac:dyDescent="0.2">
      <c r="A146" s="902"/>
      <c r="B146" s="903"/>
    </row>
    <row r="147" spans="1:2" x14ac:dyDescent="0.2">
      <c r="A147" s="902"/>
      <c r="B147" s="903"/>
    </row>
    <row r="148" spans="1:2" x14ac:dyDescent="0.2">
      <c r="A148" s="902"/>
      <c r="B148" s="903"/>
    </row>
    <row r="149" spans="1:2" x14ac:dyDescent="0.2">
      <c r="A149" s="902"/>
      <c r="B149" s="903"/>
    </row>
    <row r="150" spans="1:2" x14ac:dyDescent="0.2">
      <c r="A150" s="902"/>
      <c r="B150" s="903"/>
    </row>
    <row r="151" spans="1:2" x14ac:dyDescent="0.2">
      <c r="A151" s="902"/>
      <c r="B151" s="903"/>
    </row>
    <row r="152" spans="1:2" x14ac:dyDescent="0.2">
      <c r="A152" s="902"/>
      <c r="B152" s="903"/>
    </row>
    <row r="153" spans="1:2" x14ac:dyDescent="0.2">
      <c r="A153" s="902"/>
      <c r="B153" s="903"/>
    </row>
    <row r="154" spans="1:2" x14ac:dyDescent="0.2">
      <c r="A154" s="902"/>
      <c r="B154" s="903"/>
    </row>
    <row r="155" spans="1:2" x14ac:dyDescent="0.2">
      <c r="A155" s="902"/>
      <c r="B155" s="903"/>
    </row>
    <row r="156" spans="1:2" x14ac:dyDescent="0.2">
      <c r="A156" s="902"/>
      <c r="B156" s="903"/>
    </row>
    <row r="157" spans="1:2" x14ac:dyDescent="0.2">
      <c r="A157" s="902"/>
      <c r="B157" s="903"/>
    </row>
    <row r="158" spans="1:2" x14ac:dyDescent="0.2">
      <c r="A158" s="902"/>
      <c r="B158" s="903"/>
    </row>
    <row r="159" spans="1:2" x14ac:dyDescent="0.2">
      <c r="A159" s="902"/>
      <c r="B159" s="903"/>
    </row>
    <row r="160" spans="1:2" x14ac:dyDescent="0.2">
      <c r="A160" s="902"/>
      <c r="B160" s="903"/>
    </row>
    <row r="161" spans="1:2" x14ac:dyDescent="0.2">
      <c r="A161" s="902"/>
      <c r="B161" s="903"/>
    </row>
    <row r="162" spans="1:2" x14ac:dyDescent="0.2">
      <c r="A162" s="902"/>
      <c r="B162" s="903"/>
    </row>
    <row r="163" spans="1:2" x14ac:dyDescent="0.2">
      <c r="A163" s="902"/>
      <c r="B163" s="903"/>
    </row>
    <row r="164" spans="1:2" x14ac:dyDescent="0.2">
      <c r="A164" s="902"/>
      <c r="B164" s="903"/>
    </row>
    <row r="165" spans="1:2" x14ac:dyDescent="0.2">
      <c r="A165" s="902"/>
      <c r="B165" s="903"/>
    </row>
    <row r="166" spans="1:2" x14ac:dyDescent="0.2">
      <c r="A166" s="902"/>
      <c r="B166" s="903"/>
    </row>
    <row r="167" spans="1:2" x14ac:dyDescent="0.2">
      <c r="A167" s="902"/>
      <c r="B167" s="903"/>
    </row>
    <row r="168" spans="1:2" x14ac:dyDescent="0.2">
      <c r="A168" s="902"/>
      <c r="B168" s="903"/>
    </row>
    <row r="169" spans="1:2" x14ac:dyDescent="0.2">
      <c r="A169" s="902"/>
      <c r="B169" s="903"/>
    </row>
    <row r="170" spans="1:2" x14ac:dyDescent="0.2">
      <c r="A170" s="902"/>
      <c r="B170" s="903"/>
    </row>
    <row r="171" spans="1:2" x14ac:dyDescent="0.2">
      <c r="A171" s="902"/>
      <c r="B171" s="903"/>
    </row>
    <row r="172" spans="1:2" x14ac:dyDescent="0.2">
      <c r="A172" s="902"/>
      <c r="B172" s="903"/>
    </row>
    <row r="173" spans="1:2" x14ac:dyDescent="0.2">
      <c r="A173" s="902"/>
      <c r="B173" s="903"/>
    </row>
    <row r="174" spans="1:2" x14ac:dyDescent="0.2">
      <c r="A174" s="902"/>
      <c r="B174" s="903"/>
    </row>
    <row r="175" spans="1:2" x14ac:dyDescent="0.2">
      <c r="A175" s="902"/>
      <c r="B175" s="903"/>
    </row>
    <row r="176" spans="1:2" x14ac:dyDescent="0.2">
      <c r="A176" s="902"/>
      <c r="B176" s="903"/>
    </row>
    <row r="177" spans="1:2" x14ac:dyDescent="0.2">
      <c r="A177" s="902"/>
      <c r="B177" s="903"/>
    </row>
    <row r="178" spans="1:2" x14ac:dyDescent="0.2">
      <c r="A178" s="902"/>
      <c r="B178" s="903"/>
    </row>
    <row r="179" spans="1:2" x14ac:dyDescent="0.2">
      <c r="A179" s="902"/>
      <c r="B179" s="903"/>
    </row>
    <row r="180" spans="1:2" x14ac:dyDescent="0.2">
      <c r="A180" s="902"/>
      <c r="B180" s="903"/>
    </row>
    <row r="181" spans="1:2" x14ac:dyDescent="0.2">
      <c r="A181" s="902"/>
      <c r="B181" s="903"/>
    </row>
    <row r="182" spans="1:2" x14ac:dyDescent="0.2">
      <c r="A182" s="902"/>
      <c r="B182" s="903"/>
    </row>
    <row r="183" spans="1:2" x14ac:dyDescent="0.2">
      <c r="A183" s="902"/>
      <c r="B183" s="903"/>
    </row>
    <row r="184" spans="1:2" x14ac:dyDescent="0.2">
      <c r="A184" s="902"/>
      <c r="B184" s="903"/>
    </row>
    <row r="185" spans="1:2" x14ac:dyDescent="0.2">
      <c r="A185" s="902"/>
      <c r="B185" s="903"/>
    </row>
    <row r="186" spans="1:2" x14ac:dyDescent="0.2">
      <c r="A186" s="902"/>
      <c r="B186" s="903"/>
    </row>
    <row r="187" spans="1:2" x14ac:dyDescent="0.2">
      <c r="A187" s="902"/>
      <c r="B187" s="903"/>
    </row>
    <row r="188" spans="1:2" x14ac:dyDescent="0.2">
      <c r="A188" s="902"/>
      <c r="B188" s="903"/>
    </row>
    <row r="189" spans="1:2" x14ac:dyDescent="0.2">
      <c r="A189" s="902"/>
      <c r="B189" s="903"/>
    </row>
    <row r="190" spans="1:2" x14ac:dyDescent="0.2">
      <c r="A190" s="902"/>
      <c r="B190" s="903"/>
    </row>
    <row r="191" spans="1:2" x14ac:dyDescent="0.2">
      <c r="A191" s="902"/>
      <c r="B191" s="903"/>
    </row>
    <row r="192" spans="1:2" x14ac:dyDescent="0.2">
      <c r="A192" s="902"/>
      <c r="B192" s="903"/>
    </row>
    <row r="193" spans="1:2" x14ac:dyDescent="0.2">
      <c r="A193" s="902"/>
      <c r="B193" s="903"/>
    </row>
    <row r="194" spans="1:2" x14ac:dyDescent="0.2">
      <c r="A194" s="902"/>
      <c r="B194" s="903"/>
    </row>
    <row r="195" spans="1:2" x14ac:dyDescent="0.2">
      <c r="A195" s="902"/>
      <c r="B195" s="903"/>
    </row>
    <row r="196" spans="1:2" x14ac:dyDescent="0.2">
      <c r="A196" s="902"/>
      <c r="B196" s="903"/>
    </row>
    <row r="197" spans="1:2" x14ac:dyDescent="0.2">
      <c r="A197" s="902"/>
      <c r="B197" s="903"/>
    </row>
    <row r="198" spans="1:2" x14ac:dyDescent="0.2">
      <c r="A198" s="902"/>
      <c r="B198" s="903"/>
    </row>
    <row r="199" spans="1:2" x14ac:dyDescent="0.2">
      <c r="A199" s="902"/>
      <c r="B199" s="903"/>
    </row>
    <row r="200" spans="1:2" x14ac:dyDescent="0.2">
      <c r="A200" s="902"/>
      <c r="B200" s="903"/>
    </row>
    <row r="201" spans="1:2" x14ac:dyDescent="0.2">
      <c r="A201" s="902"/>
      <c r="B201" s="903"/>
    </row>
    <row r="202" spans="1:2" x14ac:dyDescent="0.2">
      <c r="A202" s="902"/>
      <c r="B202" s="903"/>
    </row>
    <row r="203" spans="1:2" x14ac:dyDescent="0.2">
      <c r="A203" s="902"/>
      <c r="B203" s="903"/>
    </row>
    <row r="204" spans="1:2" x14ac:dyDescent="0.2">
      <c r="A204" s="902"/>
      <c r="B204" s="903"/>
    </row>
    <row r="205" spans="1:2" x14ac:dyDescent="0.2">
      <c r="A205" s="902"/>
      <c r="B205" s="903"/>
    </row>
    <row r="206" spans="1:2" x14ac:dyDescent="0.2">
      <c r="A206" s="902"/>
      <c r="B206" s="903"/>
    </row>
    <row r="207" spans="1:2" x14ac:dyDescent="0.2">
      <c r="A207" s="902"/>
      <c r="B207" s="903"/>
    </row>
    <row r="208" spans="1:2" x14ac:dyDescent="0.2">
      <c r="A208" s="902"/>
      <c r="B208" s="903"/>
    </row>
    <row r="209" spans="1:2" x14ac:dyDescent="0.2">
      <c r="A209" s="902"/>
      <c r="B209" s="903"/>
    </row>
    <row r="210" spans="1:2" x14ac:dyDescent="0.2">
      <c r="A210" s="902"/>
      <c r="B210" s="903"/>
    </row>
    <row r="211" spans="1:2" x14ac:dyDescent="0.2">
      <c r="A211" s="902"/>
      <c r="B211" s="903"/>
    </row>
    <row r="212" spans="1:2" x14ac:dyDescent="0.2">
      <c r="A212" s="902"/>
      <c r="B212" s="903"/>
    </row>
    <row r="213" spans="1:2" x14ac:dyDescent="0.2">
      <c r="A213" s="902"/>
      <c r="B213" s="903"/>
    </row>
    <row r="214" spans="1:2" x14ac:dyDescent="0.2">
      <c r="A214" s="902"/>
      <c r="B214" s="903"/>
    </row>
    <row r="215" spans="1:2" x14ac:dyDescent="0.2">
      <c r="A215" s="902"/>
      <c r="B215" s="903"/>
    </row>
    <row r="216" spans="1:2" x14ac:dyDescent="0.2">
      <c r="A216" s="902"/>
      <c r="B216" s="903"/>
    </row>
    <row r="217" spans="1:2" x14ac:dyDescent="0.2">
      <c r="A217" s="902"/>
      <c r="B217" s="903"/>
    </row>
    <row r="218" spans="1:2" x14ac:dyDescent="0.2">
      <c r="A218" s="902"/>
      <c r="B218" s="903"/>
    </row>
    <row r="219" spans="1:2" x14ac:dyDescent="0.2">
      <c r="A219" s="902"/>
      <c r="B219" s="903"/>
    </row>
    <row r="220" spans="1:2" x14ac:dyDescent="0.2">
      <c r="A220" s="902"/>
      <c r="B220" s="903"/>
    </row>
    <row r="221" spans="1:2" x14ac:dyDescent="0.2">
      <c r="A221" s="902"/>
      <c r="B221" s="903"/>
    </row>
    <row r="222" spans="1:2" x14ac:dyDescent="0.2">
      <c r="A222" s="902"/>
      <c r="B222" s="903"/>
    </row>
    <row r="223" spans="1:2" x14ac:dyDescent="0.2">
      <c r="A223" s="902"/>
      <c r="B223" s="903"/>
    </row>
    <row r="224" spans="1:2" x14ac:dyDescent="0.2">
      <c r="A224" s="902"/>
      <c r="B224" s="903"/>
    </row>
    <row r="225" spans="1:2" x14ac:dyDescent="0.2">
      <c r="A225" s="902"/>
      <c r="B225" s="903"/>
    </row>
    <row r="226" spans="1:2" x14ac:dyDescent="0.2">
      <c r="A226" s="902"/>
      <c r="B226" s="903"/>
    </row>
    <row r="227" spans="1:2" x14ac:dyDescent="0.2">
      <c r="A227" s="902"/>
      <c r="B227" s="903"/>
    </row>
    <row r="228" spans="1:2" x14ac:dyDescent="0.2">
      <c r="A228" s="902"/>
      <c r="B228" s="903"/>
    </row>
    <row r="229" spans="1:2" x14ac:dyDescent="0.2">
      <c r="A229" s="902"/>
      <c r="B229" s="903"/>
    </row>
    <row r="230" spans="1:2" x14ac:dyDescent="0.2">
      <c r="A230" s="902"/>
      <c r="B230" s="903"/>
    </row>
    <row r="231" spans="1:2" x14ac:dyDescent="0.2">
      <c r="A231" s="902"/>
      <c r="B231" s="903"/>
    </row>
    <row r="232" spans="1:2" x14ac:dyDescent="0.2">
      <c r="A232" s="902"/>
      <c r="B232" s="903"/>
    </row>
    <row r="233" spans="1:2" x14ac:dyDescent="0.2">
      <c r="A233" s="902"/>
      <c r="B233" s="903"/>
    </row>
    <row r="234" spans="1:2" x14ac:dyDescent="0.2">
      <c r="A234" s="902"/>
      <c r="B234" s="903"/>
    </row>
    <row r="235" spans="1:2" x14ac:dyDescent="0.2">
      <c r="A235" s="902"/>
      <c r="B235" s="903"/>
    </row>
    <row r="236" spans="1:2" x14ac:dyDescent="0.2">
      <c r="A236" s="902"/>
      <c r="B236" s="903"/>
    </row>
    <row r="237" spans="1:2" x14ac:dyDescent="0.2">
      <c r="A237" s="902"/>
      <c r="B237" s="903"/>
    </row>
    <row r="238" spans="1:2" x14ac:dyDescent="0.2">
      <c r="A238" s="902"/>
      <c r="B238" s="903"/>
    </row>
    <row r="239" spans="1:2" x14ac:dyDescent="0.2">
      <c r="A239" s="902"/>
      <c r="B239" s="903"/>
    </row>
    <row r="240" spans="1:2" x14ac:dyDescent="0.2">
      <c r="A240" s="902"/>
      <c r="B240" s="903"/>
    </row>
    <row r="241" spans="1:2" x14ac:dyDescent="0.2">
      <c r="A241" s="902"/>
      <c r="B241" s="903"/>
    </row>
    <row r="242" spans="1:2" x14ac:dyDescent="0.2">
      <c r="A242" s="902"/>
      <c r="B242" s="903"/>
    </row>
    <row r="243" spans="1:2" x14ac:dyDescent="0.2">
      <c r="A243" s="902"/>
      <c r="B243" s="903"/>
    </row>
    <row r="244" spans="1:2" x14ac:dyDescent="0.2">
      <c r="A244" s="902"/>
      <c r="B244" s="903"/>
    </row>
    <row r="245" spans="1:2" x14ac:dyDescent="0.2">
      <c r="A245" s="902"/>
      <c r="B245" s="903"/>
    </row>
    <row r="246" spans="1:2" x14ac:dyDescent="0.2">
      <c r="A246" s="902"/>
      <c r="B246" s="903"/>
    </row>
    <row r="247" spans="1:2" x14ac:dyDescent="0.2">
      <c r="A247" s="902"/>
      <c r="B247" s="903"/>
    </row>
    <row r="248" spans="1:2" x14ac:dyDescent="0.2">
      <c r="A248" s="902"/>
      <c r="B248" s="903"/>
    </row>
    <row r="249" spans="1:2" x14ac:dyDescent="0.2">
      <c r="A249" s="902"/>
      <c r="B249" s="903"/>
    </row>
    <row r="250" spans="1:2" x14ac:dyDescent="0.2">
      <c r="A250" s="902"/>
      <c r="B250" s="903"/>
    </row>
    <row r="251" spans="1:2" x14ac:dyDescent="0.2">
      <c r="A251" s="902"/>
      <c r="B251" s="903"/>
    </row>
    <row r="252" spans="1:2" x14ac:dyDescent="0.2">
      <c r="A252" s="902"/>
      <c r="B252" s="903"/>
    </row>
    <row r="253" spans="1:2" x14ac:dyDescent="0.2">
      <c r="A253" s="902"/>
      <c r="B253" s="903"/>
    </row>
    <row r="254" spans="1:2" x14ac:dyDescent="0.2">
      <c r="A254" s="902"/>
      <c r="B254" s="903"/>
    </row>
    <row r="255" spans="1:2" x14ac:dyDescent="0.2">
      <c r="A255" s="902"/>
      <c r="B255" s="903"/>
    </row>
    <row r="256" spans="1:2" x14ac:dyDescent="0.2">
      <c r="A256" s="902"/>
      <c r="B256" s="903"/>
    </row>
    <row r="257" spans="1:2" x14ac:dyDescent="0.2">
      <c r="A257" s="902"/>
      <c r="B257" s="903"/>
    </row>
    <row r="258" spans="1:2" x14ac:dyDescent="0.2">
      <c r="A258" s="902"/>
      <c r="B258" s="903"/>
    </row>
    <row r="259" spans="1:2" x14ac:dyDescent="0.2">
      <c r="A259" s="902"/>
      <c r="B259" s="903"/>
    </row>
    <row r="260" spans="1:2" x14ac:dyDescent="0.2">
      <c r="A260" s="902"/>
      <c r="B260" s="903"/>
    </row>
    <row r="261" spans="1:2" x14ac:dyDescent="0.2">
      <c r="A261" s="902"/>
      <c r="B261" s="903"/>
    </row>
    <row r="262" spans="1:2" x14ac:dyDescent="0.2">
      <c r="A262" s="902"/>
      <c r="B262" s="903"/>
    </row>
    <row r="263" spans="1:2" x14ac:dyDescent="0.2">
      <c r="A263" s="902"/>
      <c r="B263" s="903"/>
    </row>
    <row r="264" spans="1:2" x14ac:dyDescent="0.2">
      <c r="A264" s="902"/>
      <c r="B264" s="903"/>
    </row>
    <row r="265" spans="1:2" x14ac:dyDescent="0.2">
      <c r="A265" s="902"/>
      <c r="B265" s="903"/>
    </row>
    <row r="266" spans="1:2" x14ac:dyDescent="0.2">
      <c r="A266" s="902"/>
      <c r="B266" s="903"/>
    </row>
    <row r="267" spans="1:2" x14ac:dyDescent="0.2">
      <c r="A267" s="902"/>
      <c r="B267" s="903"/>
    </row>
    <row r="268" spans="1:2" x14ac:dyDescent="0.2">
      <c r="A268" s="902"/>
      <c r="B268" s="903"/>
    </row>
    <row r="269" spans="1:2" x14ac:dyDescent="0.2">
      <c r="A269" s="902"/>
      <c r="B269" s="903"/>
    </row>
    <row r="270" spans="1:2" x14ac:dyDescent="0.2">
      <c r="A270" s="902"/>
      <c r="B270" s="903"/>
    </row>
    <row r="271" spans="1:2" x14ac:dyDescent="0.2">
      <c r="A271" s="902"/>
      <c r="B271" s="903"/>
    </row>
    <row r="272" spans="1:2" x14ac:dyDescent="0.2">
      <c r="A272" s="902"/>
      <c r="B272" s="903"/>
    </row>
    <row r="273" spans="1:2" x14ac:dyDescent="0.2">
      <c r="A273" s="902"/>
      <c r="B273" s="903"/>
    </row>
    <row r="274" spans="1:2" x14ac:dyDescent="0.2">
      <c r="A274" s="902"/>
      <c r="B274" s="903"/>
    </row>
    <row r="275" spans="1:2" x14ac:dyDescent="0.2">
      <c r="A275" s="902"/>
      <c r="B275" s="903"/>
    </row>
    <row r="276" spans="1:2" x14ac:dyDescent="0.2">
      <c r="A276" s="902"/>
      <c r="B276" s="903"/>
    </row>
    <row r="277" spans="1:2" x14ac:dyDescent="0.2">
      <c r="A277" s="902"/>
      <c r="B277" s="903"/>
    </row>
    <row r="278" spans="1:2" x14ac:dyDescent="0.2">
      <c r="A278" s="902"/>
      <c r="B278" s="903"/>
    </row>
    <row r="279" spans="1:2" x14ac:dyDescent="0.2">
      <c r="A279" s="902"/>
      <c r="B279" s="903"/>
    </row>
    <row r="280" spans="1:2" x14ac:dyDescent="0.2">
      <c r="A280" s="902"/>
      <c r="B280" s="903"/>
    </row>
    <row r="281" spans="1:2" x14ac:dyDescent="0.2">
      <c r="A281" s="902"/>
      <c r="B281" s="903"/>
    </row>
    <row r="282" spans="1:2" x14ac:dyDescent="0.2">
      <c r="A282" s="902"/>
      <c r="B282" s="903"/>
    </row>
    <row r="283" spans="1:2" x14ac:dyDescent="0.2">
      <c r="A283" s="902"/>
      <c r="B283" s="903"/>
    </row>
    <row r="284" spans="1:2" x14ac:dyDescent="0.2">
      <c r="A284" s="902"/>
      <c r="B284" s="903"/>
    </row>
    <row r="285" spans="1:2" x14ac:dyDescent="0.2">
      <c r="A285" s="902"/>
      <c r="B285" s="903"/>
    </row>
    <row r="286" spans="1:2" x14ac:dyDescent="0.2">
      <c r="A286" s="902"/>
      <c r="B286" s="903"/>
    </row>
    <row r="287" spans="1:2" x14ac:dyDescent="0.2">
      <c r="A287" s="902"/>
      <c r="B287" s="903"/>
    </row>
    <row r="288" spans="1:2" x14ac:dyDescent="0.2">
      <c r="A288" s="902"/>
      <c r="B288" s="903"/>
    </row>
    <row r="289" spans="1:2" x14ac:dyDescent="0.2">
      <c r="A289" s="902"/>
      <c r="B289" s="903"/>
    </row>
    <row r="290" spans="1:2" x14ac:dyDescent="0.2">
      <c r="A290" s="902"/>
      <c r="B290" s="903"/>
    </row>
    <row r="291" spans="1:2" x14ac:dyDescent="0.2">
      <c r="A291" s="902"/>
      <c r="B291" s="903"/>
    </row>
    <row r="292" spans="1:2" x14ac:dyDescent="0.2">
      <c r="A292" s="902"/>
      <c r="B292" s="903"/>
    </row>
    <row r="293" spans="1:2" x14ac:dyDescent="0.2">
      <c r="A293" s="902"/>
      <c r="B293" s="903"/>
    </row>
    <row r="294" spans="1:2" x14ac:dyDescent="0.2">
      <c r="A294" s="902"/>
      <c r="B294" s="903"/>
    </row>
    <row r="295" spans="1:2" x14ac:dyDescent="0.2">
      <c r="A295" s="902"/>
      <c r="B295" s="903"/>
    </row>
    <row r="296" spans="1:2" x14ac:dyDescent="0.2">
      <c r="A296" s="902"/>
      <c r="B296" s="903"/>
    </row>
    <row r="297" spans="1:2" x14ac:dyDescent="0.2">
      <c r="A297" s="902"/>
      <c r="B297" s="903"/>
    </row>
    <row r="298" spans="1:2" x14ac:dyDescent="0.2">
      <c r="A298" s="902"/>
      <c r="B298" s="903"/>
    </row>
    <row r="299" spans="1:2" x14ac:dyDescent="0.2">
      <c r="A299" s="902"/>
      <c r="B299" s="903"/>
    </row>
    <row r="300" spans="1:2" x14ac:dyDescent="0.2">
      <c r="A300" s="902"/>
      <c r="B300" s="903"/>
    </row>
    <row r="301" spans="1:2" x14ac:dyDescent="0.2">
      <c r="A301" s="902"/>
      <c r="B301" s="903"/>
    </row>
    <row r="302" spans="1:2" x14ac:dyDescent="0.2">
      <c r="A302" s="902"/>
      <c r="B302" s="903"/>
    </row>
    <row r="303" spans="1:2" x14ac:dyDescent="0.2">
      <c r="A303" s="902"/>
      <c r="B303" s="903"/>
    </row>
    <row r="304" spans="1:2" x14ac:dyDescent="0.2">
      <c r="A304" s="902"/>
      <c r="B304" s="903"/>
    </row>
    <row r="305" spans="1:2" x14ac:dyDescent="0.2">
      <c r="A305" s="902"/>
      <c r="B305" s="903"/>
    </row>
    <row r="306" spans="1:2" x14ac:dyDescent="0.2">
      <c r="A306" s="902"/>
      <c r="B306" s="903"/>
    </row>
    <row r="307" spans="1:2" x14ac:dyDescent="0.2">
      <c r="A307" s="902"/>
      <c r="B307" s="903"/>
    </row>
    <row r="308" spans="1:2" x14ac:dyDescent="0.2">
      <c r="A308" s="902"/>
      <c r="B308" s="903"/>
    </row>
    <row r="309" spans="1:2" x14ac:dyDescent="0.2">
      <c r="A309" s="902"/>
      <c r="B309" s="903"/>
    </row>
    <row r="310" spans="1:2" x14ac:dyDescent="0.2">
      <c r="A310" s="902"/>
      <c r="B310" s="903"/>
    </row>
    <row r="311" spans="1:2" x14ac:dyDescent="0.2">
      <c r="A311" s="902"/>
      <c r="B311" s="903"/>
    </row>
    <row r="312" spans="1:2" x14ac:dyDescent="0.2">
      <c r="A312" s="902"/>
      <c r="B312" s="903"/>
    </row>
    <row r="313" spans="1:2" x14ac:dyDescent="0.2">
      <c r="A313" s="902"/>
      <c r="B313" s="903"/>
    </row>
    <row r="314" spans="1:2" x14ac:dyDescent="0.2">
      <c r="A314" s="902"/>
      <c r="B314" s="903"/>
    </row>
    <row r="315" spans="1:2" x14ac:dyDescent="0.2">
      <c r="A315" s="902"/>
      <c r="B315" s="903"/>
    </row>
    <row r="316" spans="1:2" x14ac:dyDescent="0.2">
      <c r="A316" s="902"/>
      <c r="B316" s="903"/>
    </row>
    <row r="317" spans="1:2" x14ac:dyDescent="0.2">
      <c r="A317" s="902"/>
      <c r="B317" s="903"/>
    </row>
    <row r="318" spans="1:2" x14ac:dyDescent="0.2">
      <c r="A318" s="902"/>
      <c r="B318" s="903"/>
    </row>
    <row r="319" spans="1:2" x14ac:dyDescent="0.2">
      <c r="A319" s="902"/>
      <c r="B319" s="903"/>
    </row>
    <row r="320" spans="1:2" x14ac:dyDescent="0.2">
      <c r="A320" s="902"/>
      <c r="B320" s="903"/>
    </row>
    <row r="321" spans="1:2" x14ac:dyDescent="0.2">
      <c r="A321" s="902"/>
      <c r="B321" s="903"/>
    </row>
    <row r="322" spans="1:2" x14ac:dyDescent="0.2">
      <c r="A322" s="902"/>
      <c r="B322" s="903"/>
    </row>
    <row r="323" spans="1:2" x14ac:dyDescent="0.2">
      <c r="A323" s="902"/>
      <c r="B323" s="903"/>
    </row>
    <row r="324" spans="1:2" x14ac:dyDescent="0.2">
      <c r="A324" s="902"/>
      <c r="B324" s="903"/>
    </row>
    <row r="325" spans="1:2" x14ac:dyDescent="0.2">
      <c r="A325" s="902"/>
      <c r="B325" s="903"/>
    </row>
    <row r="326" spans="1:2" x14ac:dyDescent="0.2">
      <c r="A326" s="902"/>
      <c r="B326" s="903"/>
    </row>
    <row r="327" spans="1:2" x14ac:dyDescent="0.2">
      <c r="A327" s="902"/>
      <c r="B327" s="903"/>
    </row>
    <row r="328" spans="1:2" x14ac:dyDescent="0.2">
      <c r="A328" s="902"/>
      <c r="B328" s="903"/>
    </row>
    <row r="329" spans="1:2" x14ac:dyDescent="0.2">
      <c r="A329" s="902"/>
      <c r="B329" s="903"/>
    </row>
    <row r="330" spans="1:2" x14ac:dyDescent="0.2">
      <c r="A330" s="902"/>
      <c r="B330" s="903"/>
    </row>
    <row r="331" spans="1:2" x14ac:dyDescent="0.2">
      <c r="A331" s="902"/>
      <c r="B331" s="903"/>
    </row>
    <row r="332" spans="1:2" x14ac:dyDescent="0.2">
      <c r="A332" s="902"/>
      <c r="B332" s="903"/>
    </row>
    <row r="333" spans="1:2" x14ac:dyDescent="0.2">
      <c r="A333" s="902"/>
      <c r="B333" s="903"/>
    </row>
    <row r="334" spans="1:2" x14ac:dyDescent="0.2">
      <c r="A334" s="902"/>
      <c r="B334" s="903"/>
    </row>
    <row r="335" spans="1:2" x14ac:dyDescent="0.2">
      <c r="A335" s="902"/>
      <c r="B335" s="903"/>
    </row>
    <row r="336" spans="1:2" x14ac:dyDescent="0.2">
      <c r="A336" s="902"/>
      <c r="B336" s="903"/>
    </row>
    <row r="337" spans="1:2" x14ac:dyDescent="0.2">
      <c r="A337" s="902"/>
      <c r="B337" s="903"/>
    </row>
    <row r="338" spans="1:2" x14ac:dyDescent="0.2">
      <c r="A338" s="902"/>
      <c r="B338" s="903"/>
    </row>
    <row r="339" spans="1:2" x14ac:dyDescent="0.2">
      <c r="A339" s="902"/>
      <c r="B339" s="903"/>
    </row>
    <row r="340" spans="1:2" x14ac:dyDescent="0.2">
      <c r="A340" s="902"/>
      <c r="B340" s="903"/>
    </row>
    <row r="341" spans="1:2" x14ac:dyDescent="0.2">
      <c r="A341" s="902"/>
      <c r="B341" s="903"/>
    </row>
    <row r="342" spans="1:2" x14ac:dyDescent="0.2">
      <c r="A342" s="902"/>
      <c r="B342" s="903"/>
    </row>
    <row r="343" spans="1:2" x14ac:dyDescent="0.2">
      <c r="A343" s="902"/>
      <c r="B343" s="903"/>
    </row>
    <row r="344" spans="1:2" x14ac:dyDescent="0.2">
      <c r="A344" s="902"/>
      <c r="B344" s="903"/>
    </row>
    <row r="345" spans="1:2" x14ac:dyDescent="0.2">
      <c r="A345" s="902"/>
      <c r="B345" s="903"/>
    </row>
    <row r="346" spans="1:2" x14ac:dyDescent="0.2">
      <c r="A346" s="902"/>
      <c r="B346" s="903"/>
    </row>
    <row r="347" spans="1:2" x14ac:dyDescent="0.2">
      <c r="A347" s="902"/>
      <c r="B347" s="903"/>
    </row>
    <row r="348" spans="1:2" x14ac:dyDescent="0.2">
      <c r="A348" s="902"/>
      <c r="B348" s="903"/>
    </row>
    <row r="349" spans="1:2" x14ac:dyDescent="0.2">
      <c r="A349" s="902"/>
      <c r="B349" s="903"/>
    </row>
    <row r="350" spans="1:2" x14ac:dyDescent="0.2">
      <c r="A350" s="902"/>
      <c r="B350" s="903"/>
    </row>
    <row r="351" spans="1:2" x14ac:dyDescent="0.2">
      <c r="A351" s="902"/>
      <c r="B351" s="903"/>
    </row>
    <row r="352" spans="1:2" x14ac:dyDescent="0.2">
      <c r="A352" s="902"/>
      <c r="B352" s="903"/>
    </row>
    <row r="353" spans="1:2" x14ac:dyDescent="0.2">
      <c r="A353" s="902"/>
      <c r="B353" s="903"/>
    </row>
    <row r="354" spans="1:2" x14ac:dyDescent="0.2">
      <c r="A354" s="902"/>
      <c r="B354" s="903"/>
    </row>
    <row r="355" spans="1:2" x14ac:dyDescent="0.2">
      <c r="A355" s="902"/>
      <c r="B355" s="903"/>
    </row>
    <row r="356" spans="1:2" x14ac:dyDescent="0.2">
      <c r="A356" s="902"/>
      <c r="B356" s="903"/>
    </row>
    <row r="357" spans="1:2" x14ac:dyDescent="0.2">
      <c r="A357" s="902"/>
      <c r="B357" s="903"/>
    </row>
    <row r="358" spans="1:2" x14ac:dyDescent="0.2">
      <c r="A358" s="902"/>
      <c r="B358" s="903"/>
    </row>
    <row r="359" spans="1:2" x14ac:dyDescent="0.2">
      <c r="A359" s="902"/>
      <c r="B359" s="903"/>
    </row>
    <row r="360" spans="1:2" x14ac:dyDescent="0.2">
      <c r="A360" s="902"/>
      <c r="B360" s="903"/>
    </row>
    <row r="361" spans="1:2" x14ac:dyDescent="0.2">
      <c r="A361" s="902"/>
      <c r="B361" s="903"/>
    </row>
    <row r="362" spans="1:2" x14ac:dyDescent="0.2">
      <c r="A362" s="902"/>
      <c r="B362" s="903"/>
    </row>
    <row r="363" spans="1:2" x14ac:dyDescent="0.2">
      <c r="A363" s="902"/>
      <c r="B363" s="903"/>
    </row>
    <row r="364" spans="1:2" x14ac:dyDescent="0.2">
      <c r="A364" s="902"/>
      <c r="B364" s="903"/>
    </row>
    <row r="365" spans="1:2" x14ac:dyDescent="0.2">
      <c r="A365" s="902"/>
      <c r="B365" s="903"/>
    </row>
    <row r="366" spans="1:2" x14ac:dyDescent="0.2">
      <c r="A366" s="902"/>
      <c r="B366" s="903"/>
    </row>
    <row r="367" spans="1:2" x14ac:dyDescent="0.2">
      <c r="A367" s="902"/>
      <c r="B367" s="903"/>
    </row>
    <row r="368" spans="1:2" x14ac:dyDescent="0.2">
      <c r="A368" s="902"/>
      <c r="B368" s="903"/>
    </row>
    <row r="369" spans="1:2" x14ac:dyDescent="0.2">
      <c r="A369" s="902"/>
      <c r="B369" s="903"/>
    </row>
    <row r="370" spans="1:2" x14ac:dyDescent="0.2">
      <c r="A370" s="902"/>
      <c r="B370" s="903"/>
    </row>
    <row r="371" spans="1:2" x14ac:dyDescent="0.2">
      <c r="A371" s="902"/>
      <c r="B371" s="903"/>
    </row>
    <row r="372" spans="1:2" x14ac:dyDescent="0.2">
      <c r="A372" s="902"/>
      <c r="B372" s="903"/>
    </row>
    <row r="373" spans="1:2" x14ac:dyDescent="0.2">
      <c r="A373" s="902"/>
      <c r="B373" s="903"/>
    </row>
    <row r="374" spans="1:2" x14ac:dyDescent="0.2">
      <c r="A374" s="902"/>
      <c r="B374" s="903"/>
    </row>
    <row r="375" spans="1:2" x14ac:dyDescent="0.2">
      <c r="A375" s="902"/>
      <c r="B375" s="903"/>
    </row>
    <row r="376" spans="1:2" x14ac:dyDescent="0.2">
      <c r="A376" s="902"/>
      <c r="B376" s="903"/>
    </row>
    <row r="377" spans="1:2" x14ac:dyDescent="0.2">
      <c r="A377" s="902"/>
      <c r="B377" s="903"/>
    </row>
    <row r="378" spans="1:2" x14ac:dyDescent="0.2">
      <c r="B378" s="903"/>
    </row>
    <row r="379" spans="1:2" x14ac:dyDescent="0.2">
      <c r="B379" s="903"/>
    </row>
    <row r="380" spans="1:2" x14ac:dyDescent="0.2">
      <c r="B380" s="903"/>
    </row>
    <row r="381" spans="1:2" x14ac:dyDescent="0.2">
      <c r="B381" s="903"/>
    </row>
    <row r="382" spans="1:2" x14ac:dyDescent="0.2">
      <c r="B382" s="903"/>
    </row>
    <row r="383" spans="1:2" x14ac:dyDescent="0.2">
      <c r="B383" s="903"/>
    </row>
    <row r="384" spans="1:2" x14ac:dyDescent="0.2">
      <c r="B384" s="903"/>
    </row>
    <row r="385" spans="2:2" x14ac:dyDescent="0.2">
      <c r="B385" s="903"/>
    </row>
    <row r="386" spans="2:2" x14ac:dyDescent="0.2">
      <c r="B386" s="903"/>
    </row>
    <row r="387" spans="2:2" x14ac:dyDescent="0.2">
      <c r="B387" s="903"/>
    </row>
    <row r="388" spans="2:2" x14ac:dyDescent="0.2">
      <c r="B388" s="903"/>
    </row>
    <row r="389" spans="2:2" x14ac:dyDescent="0.2">
      <c r="B389" s="903"/>
    </row>
    <row r="390" spans="2:2" x14ac:dyDescent="0.2">
      <c r="B390" s="903"/>
    </row>
    <row r="391" spans="2:2" x14ac:dyDescent="0.2">
      <c r="B391" s="903"/>
    </row>
    <row r="392" spans="2:2" x14ac:dyDescent="0.2">
      <c r="B392" s="903"/>
    </row>
    <row r="393" spans="2:2" x14ac:dyDescent="0.2">
      <c r="B393" s="903"/>
    </row>
    <row r="394" spans="2:2" x14ac:dyDescent="0.2">
      <c r="B394" s="903"/>
    </row>
    <row r="395" spans="2:2" x14ac:dyDescent="0.2">
      <c r="B395" s="903"/>
    </row>
    <row r="396" spans="2:2" x14ac:dyDescent="0.2">
      <c r="B396" s="903"/>
    </row>
    <row r="397" spans="2:2" x14ac:dyDescent="0.2">
      <c r="B397" s="903"/>
    </row>
    <row r="398" spans="2:2" x14ac:dyDescent="0.2">
      <c r="B398" s="903"/>
    </row>
    <row r="399" spans="2:2" x14ac:dyDescent="0.2">
      <c r="B399" s="903"/>
    </row>
    <row r="400" spans="2:2" x14ac:dyDescent="0.2">
      <c r="B400" s="903"/>
    </row>
    <row r="401" spans="2:2" x14ac:dyDescent="0.2">
      <c r="B401" s="903"/>
    </row>
    <row r="402" spans="2:2" x14ac:dyDescent="0.2">
      <c r="B402" s="903"/>
    </row>
    <row r="403" spans="2:2" x14ac:dyDescent="0.2">
      <c r="B403" s="903"/>
    </row>
    <row r="404" spans="2:2" x14ac:dyDescent="0.2">
      <c r="B404" s="903"/>
    </row>
    <row r="405" spans="2:2" x14ac:dyDescent="0.2">
      <c r="B405" s="903"/>
    </row>
    <row r="406" spans="2:2" x14ac:dyDescent="0.2">
      <c r="B406" s="903"/>
    </row>
    <row r="407" spans="2:2" x14ac:dyDescent="0.2">
      <c r="B407" s="903"/>
    </row>
    <row r="408" spans="2:2" x14ac:dyDescent="0.2">
      <c r="B408" s="903"/>
    </row>
    <row r="409" spans="2:2" x14ac:dyDescent="0.2">
      <c r="B409" s="903"/>
    </row>
    <row r="410" spans="2:2" x14ac:dyDescent="0.2">
      <c r="B410" s="903"/>
    </row>
    <row r="411" spans="2:2" x14ac:dyDescent="0.2">
      <c r="B411" s="903"/>
    </row>
    <row r="412" spans="2:2" x14ac:dyDescent="0.2">
      <c r="B412" s="903"/>
    </row>
    <row r="413" spans="2:2" x14ac:dyDescent="0.2">
      <c r="B413" s="903"/>
    </row>
    <row r="414" spans="2:2" x14ac:dyDescent="0.2">
      <c r="B414" s="903"/>
    </row>
    <row r="415" spans="2:2" x14ac:dyDescent="0.2">
      <c r="B415" s="903"/>
    </row>
    <row r="416" spans="2:2" x14ac:dyDescent="0.2">
      <c r="B416" s="903"/>
    </row>
    <row r="417" spans="2:2" x14ac:dyDescent="0.2">
      <c r="B417" s="903"/>
    </row>
    <row r="418" spans="2:2" x14ac:dyDescent="0.2">
      <c r="B418" s="903"/>
    </row>
    <row r="419" spans="2:2" x14ac:dyDescent="0.2">
      <c r="B419" s="903"/>
    </row>
    <row r="420" spans="2:2" x14ac:dyDescent="0.2">
      <c r="B420" s="903"/>
    </row>
    <row r="421" spans="2:2" x14ac:dyDescent="0.2">
      <c r="B421" s="903"/>
    </row>
    <row r="422" spans="2:2" x14ac:dyDescent="0.2">
      <c r="B422" s="903"/>
    </row>
    <row r="423" spans="2:2" x14ac:dyDescent="0.2">
      <c r="B423" s="903"/>
    </row>
    <row r="424" spans="2:2" x14ac:dyDescent="0.2">
      <c r="B424" s="903"/>
    </row>
    <row r="425" spans="2:2" x14ac:dyDescent="0.2">
      <c r="B425" s="903"/>
    </row>
    <row r="426" spans="2:2" x14ac:dyDescent="0.2">
      <c r="B426" s="903"/>
    </row>
    <row r="427" spans="2:2" x14ac:dyDescent="0.2">
      <c r="B427" s="903"/>
    </row>
    <row r="428" spans="2:2" x14ac:dyDescent="0.2">
      <c r="B428" s="903"/>
    </row>
    <row r="429" spans="2:2" x14ac:dyDescent="0.2">
      <c r="B429" s="903"/>
    </row>
    <row r="430" spans="2:2" x14ac:dyDescent="0.2">
      <c r="B430" s="903"/>
    </row>
    <row r="431" spans="2:2" x14ac:dyDescent="0.2">
      <c r="B431" s="903"/>
    </row>
    <row r="432" spans="2:2" x14ac:dyDescent="0.2">
      <c r="B432" s="903"/>
    </row>
    <row r="433" spans="2:2" x14ac:dyDescent="0.2">
      <c r="B433" s="903"/>
    </row>
    <row r="434" spans="2:2" x14ac:dyDescent="0.2">
      <c r="B434" s="903"/>
    </row>
    <row r="435" spans="2:2" x14ac:dyDescent="0.2">
      <c r="B435" s="903"/>
    </row>
    <row r="436" spans="2:2" x14ac:dyDescent="0.2">
      <c r="B436" s="903"/>
    </row>
    <row r="437" spans="2:2" x14ac:dyDescent="0.2">
      <c r="B437" s="903"/>
    </row>
    <row r="438" spans="2:2" x14ac:dyDescent="0.2">
      <c r="B438" s="903"/>
    </row>
    <row r="439" spans="2:2" x14ac:dyDescent="0.2">
      <c r="B439" s="903"/>
    </row>
    <row r="440" spans="2:2" x14ac:dyDescent="0.2">
      <c r="B440" s="903"/>
    </row>
    <row r="441" spans="2:2" x14ac:dyDescent="0.2">
      <c r="B441" s="903"/>
    </row>
    <row r="442" spans="2:2" x14ac:dyDescent="0.2">
      <c r="B442" s="903"/>
    </row>
    <row r="443" spans="2:2" x14ac:dyDescent="0.2">
      <c r="B443" s="903"/>
    </row>
    <row r="444" spans="2:2" x14ac:dyDescent="0.2">
      <c r="B444" s="903"/>
    </row>
    <row r="445" spans="2:2" x14ac:dyDescent="0.2">
      <c r="B445" s="903"/>
    </row>
    <row r="446" spans="2:2" x14ac:dyDescent="0.2">
      <c r="B446" s="903"/>
    </row>
    <row r="447" spans="2:2" x14ac:dyDescent="0.2">
      <c r="B447" s="903"/>
    </row>
    <row r="448" spans="2:2" x14ac:dyDescent="0.2">
      <c r="B448" s="903"/>
    </row>
    <row r="449" spans="2:2" x14ac:dyDescent="0.2">
      <c r="B449" s="903"/>
    </row>
    <row r="450" spans="2:2" x14ac:dyDescent="0.2">
      <c r="B450" s="903"/>
    </row>
    <row r="451" spans="2:2" x14ac:dyDescent="0.2">
      <c r="B451" s="903"/>
    </row>
    <row r="452" spans="2:2" x14ac:dyDescent="0.2">
      <c r="B452" s="903"/>
    </row>
    <row r="453" spans="2:2" x14ac:dyDescent="0.2">
      <c r="B453" s="903"/>
    </row>
    <row r="454" spans="2:2" x14ac:dyDescent="0.2">
      <c r="B454" s="903"/>
    </row>
    <row r="455" spans="2:2" x14ac:dyDescent="0.2">
      <c r="B455" s="903"/>
    </row>
    <row r="456" spans="2:2" x14ac:dyDescent="0.2">
      <c r="B456" s="903"/>
    </row>
    <row r="457" spans="2:2" x14ac:dyDescent="0.2">
      <c r="B457" s="903"/>
    </row>
    <row r="458" spans="2:2" x14ac:dyDescent="0.2">
      <c r="B458" s="903"/>
    </row>
    <row r="459" spans="2:2" x14ac:dyDescent="0.2">
      <c r="B459" s="903"/>
    </row>
    <row r="460" spans="2:2" x14ac:dyDescent="0.2">
      <c r="B460" s="903"/>
    </row>
    <row r="461" spans="2:2" x14ac:dyDescent="0.2">
      <c r="B461" s="903"/>
    </row>
    <row r="462" spans="2:2" x14ac:dyDescent="0.2">
      <c r="B462" s="903"/>
    </row>
    <row r="463" spans="2:2" x14ac:dyDescent="0.2">
      <c r="B463" s="903"/>
    </row>
    <row r="464" spans="2:2" x14ac:dyDescent="0.2">
      <c r="B464" s="903"/>
    </row>
    <row r="465" spans="2:2" x14ac:dyDescent="0.2">
      <c r="B465" s="903"/>
    </row>
    <row r="466" spans="2:2" x14ac:dyDescent="0.2">
      <c r="B466" s="903"/>
    </row>
    <row r="467" spans="2:2" x14ac:dyDescent="0.2">
      <c r="B467" s="903"/>
    </row>
    <row r="468" spans="2:2" x14ac:dyDescent="0.2">
      <c r="B468" s="903"/>
    </row>
    <row r="469" spans="2:2" x14ac:dyDescent="0.2">
      <c r="B469" s="903"/>
    </row>
    <row r="470" spans="2:2" x14ac:dyDescent="0.2">
      <c r="B470" s="903"/>
    </row>
    <row r="471" spans="2:2" x14ac:dyDescent="0.2">
      <c r="B471" s="903"/>
    </row>
    <row r="472" spans="2:2" x14ac:dyDescent="0.2">
      <c r="B472" s="903"/>
    </row>
    <row r="473" spans="2:2" x14ac:dyDescent="0.2">
      <c r="B473" s="903"/>
    </row>
    <row r="474" spans="2:2" x14ac:dyDescent="0.2">
      <c r="B474" s="903"/>
    </row>
    <row r="475" spans="2:2" x14ac:dyDescent="0.2">
      <c r="B475" s="903"/>
    </row>
    <row r="476" spans="2:2" x14ac:dyDescent="0.2">
      <c r="B476" s="903"/>
    </row>
    <row r="477" spans="2:2" x14ac:dyDescent="0.2">
      <c r="B477" s="903"/>
    </row>
    <row r="478" spans="2:2" x14ac:dyDescent="0.2">
      <c r="B478" s="903"/>
    </row>
    <row r="479" spans="2:2" x14ac:dyDescent="0.2">
      <c r="B479" s="903"/>
    </row>
    <row r="480" spans="2:2" x14ac:dyDescent="0.2">
      <c r="B480" s="903"/>
    </row>
    <row r="481" spans="2:2" x14ac:dyDescent="0.2">
      <c r="B481" s="903"/>
    </row>
    <row r="482" spans="2:2" x14ac:dyDescent="0.2">
      <c r="B482" s="903"/>
    </row>
    <row r="483" spans="2:2" x14ac:dyDescent="0.2">
      <c r="B483" s="903"/>
    </row>
    <row r="484" spans="2:2" x14ac:dyDescent="0.2">
      <c r="B484" s="903"/>
    </row>
    <row r="485" spans="2:2" x14ac:dyDescent="0.2">
      <c r="B485" s="903"/>
    </row>
    <row r="486" spans="2:2" x14ac:dyDescent="0.2">
      <c r="B486" s="903"/>
    </row>
    <row r="487" spans="2:2" x14ac:dyDescent="0.2">
      <c r="B487" s="903"/>
    </row>
    <row r="488" spans="2:2" x14ac:dyDescent="0.2">
      <c r="B488" s="903"/>
    </row>
    <row r="489" spans="2:2" x14ac:dyDescent="0.2">
      <c r="B489" s="903"/>
    </row>
    <row r="490" spans="2:2" x14ac:dyDescent="0.2">
      <c r="B490" s="903"/>
    </row>
    <row r="491" spans="2:2" x14ac:dyDescent="0.2">
      <c r="B491" s="903"/>
    </row>
    <row r="492" spans="2:2" x14ac:dyDescent="0.2">
      <c r="B492" s="903"/>
    </row>
    <row r="493" spans="2:2" x14ac:dyDescent="0.2">
      <c r="B493" s="903"/>
    </row>
    <row r="494" spans="2:2" x14ac:dyDescent="0.2">
      <c r="B494" s="903"/>
    </row>
    <row r="495" spans="2:2" x14ac:dyDescent="0.2">
      <c r="B495" s="903"/>
    </row>
    <row r="496" spans="2:2" x14ac:dyDescent="0.2">
      <c r="B496" s="903"/>
    </row>
    <row r="497" spans="2:2" x14ac:dyDescent="0.2">
      <c r="B497" s="903"/>
    </row>
    <row r="498" spans="2:2" x14ac:dyDescent="0.2">
      <c r="B498" s="903"/>
    </row>
    <row r="499" spans="2:2" x14ac:dyDescent="0.2">
      <c r="B499" s="903"/>
    </row>
    <row r="500" spans="2:2" x14ac:dyDescent="0.2">
      <c r="B500" s="903"/>
    </row>
    <row r="501" spans="2:2" x14ac:dyDescent="0.2">
      <c r="B501" s="903"/>
    </row>
    <row r="502" spans="2:2" x14ac:dyDescent="0.2">
      <c r="B502" s="903"/>
    </row>
    <row r="503" spans="2:2" x14ac:dyDescent="0.2">
      <c r="B503" s="903"/>
    </row>
    <row r="504" spans="2:2" x14ac:dyDescent="0.2">
      <c r="B504" s="903"/>
    </row>
    <row r="505" spans="2:2" x14ac:dyDescent="0.2">
      <c r="B505" s="903"/>
    </row>
    <row r="506" spans="2:2" x14ac:dyDescent="0.2">
      <c r="B506" s="903"/>
    </row>
    <row r="507" spans="2:2" x14ac:dyDescent="0.2">
      <c r="B507" s="903"/>
    </row>
    <row r="508" spans="2:2" x14ac:dyDescent="0.2">
      <c r="B508" s="903"/>
    </row>
    <row r="509" spans="2:2" x14ac:dyDescent="0.2">
      <c r="B509" s="903"/>
    </row>
    <row r="510" spans="2:2" x14ac:dyDescent="0.2">
      <c r="B510" s="903"/>
    </row>
    <row r="511" spans="2:2" x14ac:dyDescent="0.2">
      <c r="B511" s="903"/>
    </row>
    <row r="512" spans="2:2" x14ac:dyDescent="0.2">
      <c r="B512" s="903"/>
    </row>
    <row r="513" spans="2:2" x14ac:dyDescent="0.2">
      <c r="B513" s="903"/>
    </row>
    <row r="514" spans="2:2" x14ac:dyDescent="0.2">
      <c r="B514" s="903"/>
    </row>
    <row r="515" spans="2:2" x14ac:dyDescent="0.2">
      <c r="B515" s="903"/>
    </row>
    <row r="516" spans="2:2" x14ac:dyDescent="0.2">
      <c r="B516" s="903"/>
    </row>
    <row r="517" spans="2:2" x14ac:dyDescent="0.2">
      <c r="B517" s="903"/>
    </row>
    <row r="518" spans="2:2" x14ac:dyDescent="0.2">
      <c r="B518" s="903"/>
    </row>
    <row r="519" spans="2:2" x14ac:dyDescent="0.2">
      <c r="B519" s="903"/>
    </row>
    <row r="520" spans="2:2" x14ac:dyDescent="0.2">
      <c r="B520" s="903"/>
    </row>
    <row r="521" spans="2:2" x14ac:dyDescent="0.2">
      <c r="B521" s="903"/>
    </row>
    <row r="522" spans="2:2" x14ac:dyDescent="0.2">
      <c r="B522" s="903"/>
    </row>
    <row r="523" spans="2:2" x14ac:dyDescent="0.2">
      <c r="B523" s="903"/>
    </row>
    <row r="524" spans="2:2" x14ac:dyDescent="0.2">
      <c r="B524" s="903"/>
    </row>
    <row r="525" spans="2:2" x14ac:dyDescent="0.2">
      <c r="B525" s="903"/>
    </row>
    <row r="526" spans="2:2" x14ac:dyDescent="0.2">
      <c r="B526" s="903"/>
    </row>
    <row r="527" spans="2:2" x14ac:dyDescent="0.2">
      <c r="B527" s="903"/>
    </row>
    <row r="528" spans="2:2" x14ac:dyDescent="0.2">
      <c r="B528" s="903"/>
    </row>
    <row r="529" spans="2:2" x14ac:dyDescent="0.2">
      <c r="B529" s="903"/>
    </row>
    <row r="530" spans="2:2" x14ac:dyDescent="0.2">
      <c r="B530" s="903"/>
    </row>
    <row r="531" spans="2:2" x14ac:dyDescent="0.2">
      <c r="B531" s="903"/>
    </row>
    <row r="532" spans="2:2" x14ac:dyDescent="0.2">
      <c r="B532" s="903"/>
    </row>
    <row r="533" spans="2:2" x14ac:dyDescent="0.2">
      <c r="B533" s="903"/>
    </row>
    <row r="534" spans="2:2" x14ac:dyDescent="0.2">
      <c r="B534" s="903"/>
    </row>
    <row r="535" spans="2:2" x14ac:dyDescent="0.2">
      <c r="B535" s="903"/>
    </row>
    <row r="536" spans="2:2" x14ac:dyDescent="0.2">
      <c r="B536" s="903"/>
    </row>
    <row r="537" spans="2:2" x14ac:dyDescent="0.2">
      <c r="B537" s="903"/>
    </row>
    <row r="538" spans="2:2" x14ac:dyDescent="0.2">
      <c r="B538" s="903"/>
    </row>
    <row r="539" spans="2:2" x14ac:dyDescent="0.2">
      <c r="B539" s="903"/>
    </row>
    <row r="540" spans="2:2" x14ac:dyDescent="0.2">
      <c r="B540" s="903"/>
    </row>
    <row r="541" spans="2:2" x14ac:dyDescent="0.2">
      <c r="B541" s="903"/>
    </row>
    <row r="542" spans="2:2" x14ac:dyDescent="0.2">
      <c r="B542" s="903"/>
    </row>
    <row r="543" spans="2:2" x14ac:dyDescent="0.2">
      <c r="B543" s="903"/>
    </row>
    <row r="544" spans="2:2" x14ac:dyDescent="0.2">
      <c r="B544" s="903"/>
    </row>
    <row r="545" spans="2:2" x14ac:dyDescent="0.2">
      <c r="B545" s="903"/>
    </row>
    <row r="546" spans="2:2" x14ac:dyDescent="0.2">
      <c r="B546" s="903"/>
    </row>
    <row r="547" spans="2:2" x14ac:dyDescent="0.2">
      <c r="B547" s="903"/>
    </row>
    <row r="548" spans="2:2" x14ac:dyDescent="0.2">
      <c r="B548" s="903"/>
    </row>
    <row r="549" spans="2:2" x14ac:dyDescent="0.2">
      <c r="B549" s="903"/>
    </row>
    <row r="550" spans="2:2" x14ac:dyDescent="0.2">
      <c r="B550" s="903"/>
    </row>
    <row r="551" spans="2:2" x14ac:dyDescent="0.2">
      <c r="B551" s="903"/>
    </row>
    <row r="552" spans="2:2" x14ac:dyDescent="0.2">
      <c r="B552" s="903"/>
    </row>
    <row r="553" spans="2:2" x14ac:dyDescent="0.2">
      <c r="B553" s="903"/>
    </row>
    <row r="554" spans="2:2" x14ac:dyDescent="0.2">
      <c r="B554" s="903"/>
    </row>
    <row r="555" spans="2:2" x14ac:dyDescent="0.2">
      <c r="B555" s="903"/>
    </row>
    <row r="556" spans="2:2" x14ac:dyDescent="0.2">
      <c r="B556" s="903"/>
    </row>
    <row r="557" spans="2:2" x14ac:dyDescent="0.2">
      <c r="B557" s="903"/>
    </row>
    <row r="558" spans="2:2" x14ac:dyDescent="0.2">
      <c r="B558" s="903"/>
    </row>
    <row r="559" spans="2:2" x14ac:dyDescent="0.2">
      <c r="B559" s="903"/>
    </row>
    <row r="560" spans="2:2" x14ac:dyDescent="0.2">
      <c r="B560" s="903"/>
    </row>
    <row r="561" spans="2:2" x14ac:dyDescent="0.2">
      <c r="B561" s="903"/>
    </row>
    <row r="562" spans="2:2" x14ac:dyDescent="0.2">
      <c r="B562" s="903"/>
    </row>
    <row r="563" spans="2:2" x14ac:dyDescent="0.2">
      <c r="B563" s="903"/>
    </row>
    <row r="564" spans="2:2" x14ac:dyDescent="0.2">
      <c r="B564" s="903"/>
    </row>
    <row r="565" spans="2:2" x14ac:dyDescent="0.2">
      <c r="B565" s="903"/>
    </row>
    <row r="566" spans="2:2" x14ac:dyDescent="0.2">
      <c r="B566" s="903"/>
    </row>
    <row r="567" spans="2:2" x14ac:dyDescent="0.2">
      <c r="B567" s="903"/>
    </row>
    <row r="568" spans="2:2" x14ac:dyDescent="0.2">
      <c r="B568" s="903"/>
    </row>
    <row r="569" spans="2:2" x14ac:dyDescent="0.2">
      <c r="B569" s="903"/>
    </row>
    <row r="570" spans="2:2" x14ac:dyDescent="0.2">
      <c r="B570" s="903"/>
    </row>
    <row r="571" spans="2:2" x14ac:dyDescent="0.2">
      <c r="B571" s="903"/>
    </row>
    <row r="572" spans="2:2" x14ac:dyDescent="0.2">
      <c r="B572" s="903"/>
    </row>
    <row r="573" spans="2:2" x14ac:dyDescent="0.2">
      <c r="B573" s="903"/>
    </row>
    <row r="574" spans="2:2" x14ac:dyDescent="0.2">
      <c r="B574" s="903"/>
    </row>
    <row r="575" spans="2:2" x14ac:dyDescent="0.2">
      <c r="B575" s="903"/>
    </row>
    <row r="576" spans="2:2" x14ac:dyDescent="0.2">
      <c r="B576" s="903"/>
    </row>
    <row r="577" spans="2:2" x14ac:dyDescent="0.2">
      <c r="B577" s="903"/>
    </row>
    <row r="578" spans="2:2" x14ac:dyDescent="0.2">
      <c r="B578" s="903"/>
    </row>
    <row r="579" spans="2:2" x14ac:dyDescent="0.2">
      <c r="B579" s="903"/>
    </row>
    <row r="580" spans="2:2" x14ac:dyDescent="0.2">
      <c r="B580" s="903"/>
    </row>
    <row r="581" spans="2:2" x14ac:dyDescent="0.2">
      <c r="B581" s="903"/>
    </row>
    <row r="582" spans="2:2" x14ac:dyDescent="0.2">
      <c r="B582" s="903"/>
    </row>
    <row r="583" spans="2:2" x14ac:dyDescent="0.2">
      <c r="B583" s="903"/>
    </row>
    <row r="584" spans="2:2" x14ac:dyDescent="0.2">
      <c r="B584" s="903"/>
    </row>
    <row r="585" spans="2:2" x14ac:dyDescent="0.2">
      <c r="B585" s="903"/>
    </row>
    <row r="586" spans="2:2" x14ac:dyDescent="0.2">
      <c r="B586" s="903"/>
    </row>
    <row r="587" spans="2:2" x14ac:dyDescent="0.2">
      <c r="B587" s="903"/>
    </row>
    <row r="588" spans="2:2" x14ac:dyDescent="0.2">
      <c r="B588" s="903"/>
    </row>
    <row r="589" spans="2:2" x14ac:dyDescent="0.2">
      <c r="B589" s="903"/>
    </row>
    <row r="590" spans="2:2" x14ac:dyDescent="0.2">
      <c r="B590" s="903"/>
    </row>
    <row r="591" spans="2:2" x14ac:dyDescent="0.2">
      <c r="B591" s="903"/>
    </row>
    <row r="592" spans="2:2" x14ac:dyDescent="0.2">
      <c r="B592" s="903"/>
    </row>
    <row r="593" spans="2:2" x14ac:dyDescent="0.2">
      <c r="B593" s="903"/>
    </row>
    <row r="594" spans="2:2" x14ac:dyDescent="0.2">
      <c r="B594" s="903"/>
    </row>
    <row r="595" spans="2:2" x14ac:dyDescent="0.2">
      <c r="B595" s="903"/>
    </row>
    <row r="596" spans="2:2" x14ac:dyDescent="0.2">
      <c r="B596" s="903"/>
    </row>
    <row r="597" spans="2:2" x14ac:dyDescent="0.2">
      <c r="B597" s="903"/>
    </row>
    <row r="598" spans="2:2" x14ac:dyDescent="0.2">
      <c r="B598" s="903"/>
    </row>
    <row r="599" spans="2:2" x14ac:dyDescent="0.2">
      <c r="B599" s="903"/>
    </row>
    <row r="600" spans="2:2" x14ac:dyDescent="0.2">
      <c r="B600" s="903"/>
    </row>
    <row r="601" spans="2:2" x14ac:dyDescent="0.2">
      <c r="B601" s="903"/>
    </row>
    <row r="602" spans="2:2" x14ac:dyDescent="0.2">
      <c r="B602" s="903"/>
    </row>
    <row r="603" spans="2:2" x14ac:dyDescent="0.2">
      <c r="B603" s="903"/>
    </row>
    <row r="604" spans="2:2" x14ac:dyDescent="0.2">
      <c r="B604" s="903"/>
    </row>
    <row r="605" spans="2:2" x14ac:dyDescent="0.2">
      <c r="B605" s="903"/>
    </row>
    <row r="606" spans="2:2" x14ac:dyDescent="0.2">
      <c r="B606" s="903"/>
    </row>
    <row r="607" spans="2:2" x14ac:dyDescent="0.2">
      <c r="B607" s="903"/>
    </row>
    <row r="608" spans="2:2" x14ac:dyDescent="0.2">
      <c r="B608" s="903"/>
    </row>
    <row r="609" spans="2:2" x14ac:dyDescent="0.2">
      <c r="B609" s="903"/>
    </row>
    <row r="610" spans="2:2" x14ac:dyDescent="0.2">
      <c r="B610" s="903"/>
    </row>
    <row r="611" spans="2:2" x14ac:dyDescent="0.2">
      <c r="B611" s="903"/>
    </row>
    <row r="612" spans="2:2" x14ac:dyDescent="0.2">
      <c r="B612" s="903"/>
    </row>
    <row r="613" spans="2:2" x14ac:dyDescent="0.2">
      <c r="B613" s="903"/>
    </row>
    <row r="614" spans="2:2" x14ac:dyDescent="0.2">
      <c r="B614" s="903"/>
    </row>
    <row r="615" spans="2:2" x14ac:dyDescent="0.2">
      <c r="B615" s="903"/>
    </row>
    <row r="616" spans="2:2" x14ac:dyDescent="0.2">
      <c r="B616" s="903"/>
    </row>
    <row r="617" spans="2:2" x14ac:dyDescent="0.2">
      <c r="B617" s="903"/>
    </row>
    <row r="618" spans="2:2" x14ac:dyDescent="0.2">
      <c r="B618" s="903"/>
    </row>
    <row r="619" spans="2:2" x14ac:dyDescent="0.2">
      <c r="B619" s="903"/>
    </row>
    <row r="620" spans="2:2" x14ac:dyDescent="0.2">
      <c r="B620" s="903"/>
    </row>
    <row r="621" spans="2:2" x14ac:dyDescent="0.2">
      <c r="B621" s="903"/>
    </row>
    <row r="622" spans="2:2" x14ac:dyDescent="0.2">
      <c r="B622" s="903"/>
    </row>
    <row r="623" spans="2:2" x14ac:dyDescent="0.2">
      <c r="B623" s="903"/>
    </row>
    <row r="624" spans="2:2" x14ac:dyDescent="0.2">
      <c r="B624" s="903"/>
    </row>
    <row r="625" spans="2:2" x14ac:dyDescent="0.2">
      <c r="B625" s="903"/>
    </row>
    <row r="626" spans="2:2" x14ac:dyDescent="0.2">
      <c r="B626" s="903"/>
    </row>
    <row r="627" spans="2:2" x14ac:dyDescent="0.2">
      <c r="B627" s="903"/>
    </row>
    <row r="628" spans="2:2" x14ac:dyDescent="0.2">
      <c r="B628" s="903"/>
    </row>
    <row r="629" spans="2:2" x14ac:dyDescent="0.2">
      <c r="B629" s="903"/>
    </row>
    <row r="630" spans="2:2" x14ac:dyDescent="0.2">
      <c r="B630" s="903"/>
    </row>
    <row r="631" spans="2:2" x14ac:dyDescent="0.2">
      <c r="B631" s="903"/>
    </row>
    <row r="632" spans="2:2" x14ac:dyDescent="0.2">
      <c r="B632" s="903"/>
    </row>
    <row r="633" spans="2:2" x14ac:dyDescent="0.2">
      <c r="B633" s="903"/>
    </row>
    <row r="634" spans="2:2" x14ac:dyDescent="0.2">
      <c r="B634" s="903"/>
    </row>
    <row r="635" spans="2:2" x14ac:dyDescent="0.2">
      <c r="B635" s="903"/>
    </row>
    <row r="636" spans="2:2" x14ac:dyDescent="0.2">
      <c r="B636" s="903"/>
    </row>
    <row r="637" spans="2:2" x14ac:dyDescent="0.2">
      <c r="B637" s="903"/>
    </row>
    <row r="638" spans="2:2" x14ac:dyDescent="0.2">
      <c r="B638" s="903"/>
    </row>
    <row r="639" spans="2:2" x14ac:dyDescent="0.2">
      <c r="B639" s="903"/>
    </row>
    <row r="640" spans="2:2" x14ac:dyDescent="0.2">
      <c r="B640" s="903"/>
    </row>
    <row r="641" spans="2:2" x14ac:dyDescent="0.2">
      <c r="B641" s="903"/>
    </row>
    <row r="642" spans="2:2" x14ac:dyDescent="0.2">
      <c r="B642" s="903"/>
    </row>
    <row r="643" spans="2:2" x14ac:dyDescent="0.2">
      <c r="B643" s="903"/>
    </row>
    <row r="644" spans="2:2" x14ac:dyDescent="0.2">
      <c r="B644" s="903"/>
    </row>
    <row r="645" spans="2:2" x14ac:dyDescent="0.2">
      <c r="B645" s="903"/>
    </row>
    <row r="646" spans="2:2" x14ac:dyDescent="0.2">
      <c r="B646" s="903"/>
    </row>
    <row r="647" spans="2:2" x14ac:dyDescent="0.2">
      <c r="B647" s="903"/>
    </row>
    <row r="648" spans="2:2" x14ac:dyDescent="0.2">
      <c r="B648" s="903"/>
    </row>
    <row r="649" spans="2:2" x14ac:dyDescent="0.2">
      <c r="B649" s="903"/>
    </row>
    <row r="650" spans="2:2" x14ac:dyDescent="0.2">
      <c r="B650" s="903"/>
    </row>
    <row r="651" spans="2:2" x14ac:dyDescent="0.2">
      <c r="B651" s="903"/>
    </row>
    <row r="652" spans="2:2" x14ac:dyDescent="0.2">
      <c r="B652" s="903"/>
    </row>
    <row r="653" spans="2:2" x14ac:dyDescent="0.2">
      <c r="B653" s="903"/>
    </row>
    <row r="654" spans="2:2" x14ac:dyDescent="0.2">
      <c r="B654" s="903"/>
    </row>
    <row r="655" spans="2:2" x14ac:dyDescent="0.2">
      <c r="B655" s="903"/>
    </row>
    <row r="656" spans="2:2" x14ac:dyDescent="0.2">
      <c r="B656" s="903"/>
    </row>
    <row r="657" spans="2:2" x14ac:dyDescent="0.2">
      <c r="B657" s="903"/>
    </row>
    <row r="658" spans="2:2" x14ac:dyDescent="0.2">
      <c r="B658" s="903"/>
    </row>
    <row r="659" spans="2:2" x14ac:dyDescent="0.2">
      <c r="B659" s="903"/>
    </row>
    <row r="660" spans="2:2" x14ac:dyDescent="0.2">
      <c r="B660" s="903"/>
    </row>
    <row r="661" spans="2:2" x14ac:dyDescent="0.2">
      <c r="B661" s="903"/>
    </row>
    <row r="662" spans="2:2" x14ac:dyDescent="0.2">
      <c r="B662" s="903"/>
    </row>
    <row r="663" spans="2:2" x14ac:dyDescent="0.2">
      <c r="B663" s="903"/>
    </row>
    <row r="664" spans="2:2" x14ac:dyDescent="0.2">
      <c r="B664" s="903"/>
    </row>
    <row r="665" spans="2:2" x14ac:dyDescent="0.2">
      <c r="B665" s="903"/>
    </row>
    <row r="666" spans="2:2" x14ac:dyDescent="0.2">
      <c r="B666" s="903"/>
    </row>
    <row r="667" spans="2:2" x14ac:dyDescent="0.2">
      <c r="B667" s="903"/>
    </row>
    <row r="668" spans="2:2" x14ac:dyDescent="0.2">
      <c r="B668" s="903"/>
    </row>
    <row r="669" spans="2:2" x14ac:dyDescent="0.2">
      <c r="B669" s="903"/>
    </row>
    <row r="670" spans="2:2" x14ac:dyDescent="0.2">
      <c r="B670" s="903"/>
    </row>
    <row r="671" spans="2:2" x14ac:dyDescent="0.2">
      <c r="B671" s="903"/>
    </row>
    <row r="672" spans="2:2" x14ac:dyDescent="0.2">
      <c r="B672" s="903"/>
    </row>
    <row r="673" spans="2:2" x14ac:dyDescent="0.2">
      <c r="B673" s="903"/>
    </row>
    <row r="674" spans="2:2" x14ac:dyDescent="0.2">
      <c r="B674" s="903"/>
    </row>
    <row r="675" spans="2:2" x14ac:dyDescent="0.2">
      <c r="B675" s="903"/>
    </row>
    <row r="676" spans="2:2" x14ac:dyDescent="0.2">
      <c r="B676" s="903"/>
    </row>
    <row r="677" spans="2:2" x14ac:dyDescent="0.2">
      <c r="B677" s="903"/>
    </row>
    <row r="678" spans="2:2" x14ac:dyDescent="0.2">
      <c r="B678" s="903"/>
    </row>
    <row r="679" spans="2:2" x14ac:dyDescent="0.2">
      <c r="B679" s="903"/>
    </row>
    <row r="680" spans="2:2" x14ac:dyDescent="0.2">
      <c r="B680" s="903"/>
    </row>
    <row r="681" spans="2:2" x14ac:dyDescent="0.2">
      <c r="B681" s="903"/>
    </row>
    <row r="682" spans="2:2" x14ac:dyDescent="0.2">
      <c r="B682" s="903"/>
    </row>
    <row r="683" spans="2:2" x14ac:dyDescent="0.2">
      <c r="B683" s="903"/>
    </row>
    <row r="684" spans="2:2" x14ac:dyDescent="0.2">
      <c r="B684" s="903"/>
    </row>
    <row r="685" spans="2:2" x14ac:dyDescent="0.2">
      <c r="B685" s="903"/>
    </row>
    <row r="686" spans="2:2" x14ac:dyDescent="0.2">
      <c r="B686" s="903"/>
    </row>
    <row r="687" spans="2:2" x14ac:dyDescent="0.2">
      <c r="B687" s="903"/>
    </row>
    <row r="688" spans="2:2" x14ac:dyDescent="0.2">
      <c r="B688" s="903"/>
    </row>
    <row r="689" spans="2:2" x14ac:dyDescent="0.2">
      <c r="B689" s="903"/>
    </row>
    <row r="690" spans="2:2" x14ac:dyDescent="0.2">
      <c r="B690" s="903"/>
    </row>
    <row r="691" spans="2:2" x14ac:dyDescent="0.2">
      <c r="B691" s="903"/>
    </row>
    <row r="692" spans="2:2" x14ac:dyDescent="0.2">
      <c r="B692" s="903"/>
    </row>
    <row r="693" spans="2:2" x14ac:dyDescent="0.2">
      <c r="B693" s="903"/>
    </row>
    <row r="694" spans="2:2" x14ac:dyDescent="0.2">
      <c r="B694" s="903"/>
    </row>
    <row r="695" spans="2:2" x14ac:dyDescent="0.2">
      <c r="B695" s="903"/>
    </row>
    <row r="696" spans="2:2" x14ac:dyDescent="0.2">
      <c r="B696" s="903"/>
    </row>
    <row r="697" spans="2:2" x14ac:dyDescent="0.2">
      <c r="B697" s="903"/>
    </row>
    <row r="698" spans="2:2" x14ac:dyDescent="0.2">
      <c r="B698" s="903"/>
    </row>
    <row r="699" spans="2:2" x14ac:dyDescent="0.2">
      <c r="B699" s="903"/>
    </row>
    <row r="700" spans="2:2" x14ac:dyDescent="0.2">
      <c r="B700" s="903"/>
    </row>
    <row r="701" spans="2:2" x14ac:dyDescent="0.2">
      <c r="B701" s="903"/>
    </row>
    <row r="702" spans="2:2" x14ac:dyDescent="0.2">
      <c r="B702" s="903"/>
    </row>
    <row r="703" spans="2:2" x14ac:dyDescent="0.2">
      <c r="B703" s="903"/>
    </row>
    <row r="704" spans="2:2" x14ac:dyDescent="0.2">
      <c r="B704" s="903"/>
    </row>
    <row r="705" spans="2:2" x14ac:dyDescent="0.2">
      <c r="B705" s="903"/>
    </row>
    <row r="706" spans="2:2" x14ac:dyDescent="0.2">
      <c r="B706" s="903"/>
    </row>
    <row r="707" spans="2:2" x14ac:dyDescent="0.2">
      <c r="B707" s="903"/>
    </row>
    <row r="708" spans="2:2" x14ac:dyDescent="0.2">
      <c r="B708" s="903"/>
    </row>
    <row r="709" spans="2:2" x14ac:dyDescent="0.2">
      <c r="B709" s="903"/>
    </row>
    <row r="710" spans="2:2" x14ac:dyDescent="0.2">
      <c r="B710" s="903"/>
    </row>
    <row r="711" spans="2:2" x14ac:dyDescent="0.2">
      <c r="B711" s="903"/>
    </row>
    <row r="712" spans="2:2" x14ac:dyDescent="0.2">
      <c r="B712" s="903"/>
    </row>
    <row r="713" spans="2:2" x14ac:dyDescent="0.2">
      <c r="B713" s="903"/>
    </row>
    <row r="714" spans="2:2" x14ac:dyDescent="0.2">
      <c r="B714" s="903"/>
    </row>
    <row r="715" spans="2:2" x14ac:dyDescent="0.2">
      <c r="B715" s="903"/>
    </row>
    <row r="716" spans="2:2" x14ac:dyDescent="0.2">
      <c r="B716" s="903"/>
    </row>
    <row r="717" spans="2:2" x14ac:dyDescent="0.2">
      <c r="B717" s="903"/>
    </row>
    <row r="718" spans="2:2" x14ac:dyDescent="0.2">
      <c r="B718" s="903"/>
    </row>
    <row r="719" spans="2:2" x14ac:dyDescent="0.2">
      <c r="B719" s="903"/>
    </row>
    <row r="720" spans="2:2" x14ac:dyDescent="0.2">
      <c r="B720" s="903"/>
    </row>
    <row r="721" spans="2:2" x14ac:dyDescent="0.2">
      <c r="B721" s="903"/>
    </row>
    <row r="722" spans="2:2" x14ac:dyDescent="0.2">
      <c r="B722" s="903"/>
    </row>
    <row r="723" spans="2:2" x14ac:dyDescent="0.2">
      <c r="B723" s="903"/>
    </row>
    <row r="724" spans="2:2" x14ac:dyDescent="0.2">
      <c r="B724" s="903"/>
    </row>
    <row r="725" spans="2:2" x14ac:dyDescent="0.2">
      <c r="B725" s="903"/>
    </row>
    <row r="726" spans="2:2" x14ac:dyDescent="0.2">
      <c r="B726" s="903"/>
    </row>
    <row r="727" spans="2:2" x14ac:dyDescent="0.2">
      <c r="B727" s="903"/>
    </row>
    <row r="728" spans="2:2" x14ac:dyDescent="0.2">
      <c r="B728" s="903"/>
    </row>
    <row r="729" spans="2:2" x14ac:dyDescent="0.2">
      <c r="B729" s="903"/>
    </row>
    <row r="730" spans="2:2" x14ac:dyDescent="0.2">
      <c r="B730" s="903"/>
    </row>
    <row r="731" spans="2:2" x14ac:dyDescent="0.2">
      <c r="B731" s="903"/>
    </row>
    <row r="732" spans="2:2" x14ac:dyDescent="0.2">
      <c r="B732" s="903"/>
    </row>
    <row r="733" spans="2:2" x14ac:dyDescent="0.2">
      <c r="B733" s="903"/>
    </row>
    <row r="734" spans="2:2" x14ac:dyDescent="0.2">
      <c r="B734" s="903"/>
    </row>
    <row r="735" spans="2:2" x14ac:dyDescent="0.2">
      <c r="B735" s="903"/>
    </row>
    <row r="736" spans="2:2" x14ac:dyDescent="0.2">
      <c r="B736" s="903"/>
    </row>
    <row r="737" spans="2:2" x14ac:dyDescent="0.2">
      <c r="B737" s="903"/>
    </row>
    <row r="738" spans="2:2" x14ac:dyDescent="0.2">
      <c r="B738" s="903"/>
    </row>
    <row r="739" spans="2:2" x14ac:dyDescent="0.2">
      <c r="B739" s="903"/>
    </row>
    <row r="740" spans="2:2" x14ac:dyDescent="0.2">
      <c r="B740" s="903"/>
    </row>
    <row r="741" spans="2:2" x14ac:dyDescent="0.2">
      <c r="B741" s="903"/>
    </row>
    <row r="742" spans="2:2" x14ac:dyDescent="0.2">
      <c r="B742" s="903"/>
    </row>
    <row r="743" spans="2:2" x14ac:dyDescent="0.2">
      <c r="B743" s="903"/>
    </row>
    <row r="744" spans="2:2" x14ac:dyDescent="0.2">
      <c r="B744" s="903"/>
    </row>
    <row r="745" spans="2:2" x14ac:dyDescent="0.2">
      <c r="B745" s="903"/>
    </row>
    <row r="746" spans="2:2" x14ac:dyDescent="0.2">
      <c r="B746" s="903"/>
    </row>
    <row r="747" spans="2:2" x14ac:dyDescent="0.2">
      <c r="B747" s="903"/>
    </row>
    <row r="748" spans="2:2" x14ac:dyDescent="0.2">
      <c r="B748" s="903"/>
    </row>
    <row r="749" spans="2:2" x14ac:dyDescent="0.2">
      <c r="B749" s="903"/>
    </row>
    <row r="750" spans="2:2" x14ac:dyDescent="0.2">
      <c r="B750" s="903"/>
    </row>
    <row r="751" spans="2:2" x14ac:dyDescent="0.2">
      <c r="B751" s="903"/>
    </row>
    <row r="752" spans="2:2" x14ac:dyDescent="0.2">
      <c r="B752" s="903"/>
    </row>
    <row r="753" spans="2:2" x14ac:dyDescent="0.2">
      <c r="B753" s="903"/>
    </row>
    <row r="754" spans="2:2" x14ac:dyDescent="0.2">
      <c r="B754" s="903"/>
    </row>
    <row r="755" spans="2:2" x14ac:dyDescent="0.2">
      <c r="B755" s="903"/>
    </row>
    <row r="756" spans="2:2" x14ac:dyDescent="0.2">
      <c r="B756" s="903"/>
    </row>
    <row r="757" spans="2:2" x14ac:dyDescent="0.2">
      <c r="B757" s="903"/>
    </row>
    <row r="758" spans="2:2" x14ac:dyDescent="0.2">
      <c r="B758" s="903"/>
    </row>
    <row r="759" spans="2:2" x14ac:dyDescent="0.2">
      <c r="B759" s="903"/>
    </row>
    <row r="760" spans="2:2" x14ac:dyDescent="0.2">
      <c r="B760" s="903"/>
    </row>
    <row r="761" spans="2:2" x14ac:dyDescent="0.2">
      <c r="B761" s="903"/>
    </row>
    <row r="762" spans="2:2" x14ac:dyDescent="0.2">
      <c r="B762" s="903"/>
    </row>
    <row r="763" spans="2:2" x14ac:dyDescent="0.2">
      <c r="B763" s="903"/>
    </row>
    <row r="764" spans="2:2" x14ac:dyDescent="0.2">
      <c r="B764" s="903"/>
    </row>
    <row r="765" spans="2:2" x14ac:dyDescent="0.2">
      <c r="B765" s="903"/>
    </row>
    <row r="766" spans="2:2" x14ac:dyDescent="0.2">
      <c r="B766" s="903"/>
    </row>
    <row r="767" spans="2:2" x14ac:dyDescent="0.2">
      <c r="B767" s="903"/>
    </row>
    <row r="768" spans="2:2" x14ac:dyDescent="0.2">
      <c r="B768" s="903"/>
    </row>
    <row r="769" spans="2:2" x14ac:dyDescent="0.2">
      <c r="B769" s="903"/>
    </row>
  </sheetData>
  <mergeCells count="3">
    <mergeCell ref="B19:C19"/>
    <mergeCell ref="A15:A16"/>
    <mergeCell ref="C15:C16"/>
  </mergeCells>
  <pageMargins left="0.74803149606299213" right="0.74803149606299213" top="1.0629921259842521" bottom="0.98425196850393704" header="0.47244094488188981" footer="0.51181102362204722"/>
  <pageSetup paperSize="9" firstPageNumber="103" orientation="portrait" horizontalDpi="4294967294" r:id="rId1"/>
  <headerFooter alignWithMargins="0">
    <oddHeader>&amp;C&amp;"Times New Roman CE,Félkövér"&amp;14
Vecsés Város Önkormányzat 2014. évre értékesítésre kijelölt ingatlanjai
&amp;R&amp;12 9.1 számú  melléklet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E21" sqref="E21"/>
    </sheetView>
  </sheetViews>
  <sheetFormatPr defaultColWidth="9.33203125" defaultRowHeight="12.75" x14ac:dyDescent="0.2"/>
  <cols>
    <col min="1" max="1" width="6.83203125" style="856" customWidth="1"/>
    <col min="2" max="2" width="49.6640625" style="857" customWidth="1"/>
    <col min="3" max="4" width="12.83203125" style="857" customWidth="1"/>
    <col min="5" max="5" width="14" style="857" customWidth="1"/>
    <col min="6" max="7" width="15" style="857" customWidth="1"/>
    <col min="8" max="8" width="14.6640625" style="857" customWidth="1"/>
    <col min="9" max="9" width="13.83203125" style="857" customWidth="1"/>
    <col min="10" max="10" width="9.33203125" style="857" customWidth="1"/>
    <col min="11" max="11" width="11.83203125" style="857" bestFit="1" customWidth="1"/>
    <col min="12" max="12" width="9.33203125" style="857" customWidth="1"/>
    <col min="13" max="13" width="11.83203125" style="857" bestFit="1" customWidth="1"/>
    <col min="14" max="256" width="9.33203125" style="857"/>
    <col min="257" max="257" width="6.83203125" style="857" customWidth="1"/>
    <col min="258" max="258" width="49.6640625" style="857" customWidth="1"/>
    <col min="259" max="260" width="12.83203125" style="857" customWidth="1"/>
    <col min="261" max="261" width="14" style="857" customWidth="1"/>
    <col min="262" max="263" width="15" style="857" customWidth="1"/>
    <col min="264" max="264" width="14.6640625" style="857" customWidth="1"/>
    <col min="265" max="265" width="13.83203125" style="857" customWidth="1"/>
    <col min="266" max="266" width="9.33203125" style="857" customWidth="1"/>
    <col min="267" max="267" width="11.83203125" style="857" bestFit="1" customWidth="1"/>
    <col min="268" max="268" width="9.33203125" style="857" customWidth="1"/>
    <col min="269" max="269" width="11.83203125" style="857" bestFit="1" customWidth="1"/>
    <col min="270" max="512" width="9.33203125" style="857"/>
    <col min="513" max="513" width="6.83203125" style="857" customWidth="1"/>
    <col min="514" max="514" width="49.6640625" style="857" customWidth="1"/>
    <col min="515" max="516" width="12.83203125" style="857" customWidth="1"/>
    <col min="517" max="517" width="14" style="857" customWidth="1"/>
    <col min="518" max="519" width="15" style="857" customWidth="1"/>
    <col min="520" max="520" width="14.6640625" style="857" customWidth="1"/>
    <col min="521" max="521" width="13.83203125" style="857" customWidth="1"/>
    <col min="522" max="522" width="9.33203125" style="857" customWidth="1"/>
    <col min="523" max="523" width="11.83203125" style="857" bestFit="1" customWidth="1"/>
    <col min="524" max="524" width="9.33203125" style="857" customWidth="1"/>
    <col min="525" max="525" width="11.83203125" style="857" bestFit="1" customWidth="1"/>
    <col min="526" max="768" width="9.33203125" style="857"/>
    <col min="769" max="769" width="6.83203125" style="857" customWidth="1"/>
    <col min="770" max="770" width="49.6640625" style="857" customWidth="1"/>
    <col min="771" max="772" width="12.83203125" style="857" customWidth="1"/>
    <col min="773" max="773" width="14" style="857" customWidth="1"/>
    <col min="774" max="775" width="15" style="857" customWidth="1"/>
    <col min="776" max="776" width="14.6640625" style="857" customWidth="1"/>
    <col min="777" max="777" width="13.83203125" style="857" customWidth="1"/>
    <col min="778" max="778" width="9.33203125" style="857" customWidth="1"/>
    <col min="779" max="779" width="11.83203125" style="857" bestFit="1" customWidth="1"/>
    <col min="780" max="780" width="9.33203125" style="857" customWidth="1"/>
    <col min="781" max="781" width="11.83203125" style="857" bestFit="1" customWidth="1"/>
    <col min="782" max="1024" width="9.33203125" style="857"/>
    <col min="1025" max="1025" width="6.83203125" style="857" customWidth="1"/>
    <col min="1026" max="1026" width="49.6640625" style="857" customWidth="1"/>
    <col min="1027" max="1028" width="12.83203125" style="857" customWidth="1"/>
    <col min="1029" max="1029" width="14" style="857" customWidth="1"/>
    <col min="1030" max="1031" width="15" style="857" customWidth="1"/>
    <col min="1032" max="1032" width="14.6640625" style="857" customWidth="1"/>
    <col min="1033" max="1033" width="13.83203125" style="857" customWidth="1"/>
    <col min="1034" max="1034" width="9.33203125" style="857" customWidth="1"/>
    <col min="1035" max="1035" width="11.83203125" style="857" bestFit="1" customWidth="1"/>
    <col min="1036" max="1036" width="9.33203125" style="857" customWidth="1"/>
    <col min="1037" max="1037" width="11.83203125" style="857" bestFit="1" customWidth="1"/>
    <col min="1038" max="1280" width="9.33203125" style="857"/>
    <col min="1281" max="1281" width="6.83203125" style="857" customWidth="1"/>
    <col min="1282" max="1282" width="49.6640625" style="857" customWidth="1"/>
    <col min="1283" max="1284" width="12.83203125" style="857" customWidth="1"/>
    <col min="1285" max="1285" width="14" style="857" customWidth="1"/>
    <col min="1286" max="1287" width="15" style="857" customWidth="1"/>
    <col min="1288" max="1288" width="14.6640625" style="857" customWidth="1"/>
    <col min="1289" max="1289" width="13.83203125" style="857" customWidth="1"/>
    <col min="1290" max="1290" width="9.33203125" style="857" customWidth="1"/>
    <col min="1291" max="1291" width="11.83203125" style="857" bestFit="1" customWidth="1"/>
    <col min="1292" max="1292" width="9.33203125" style="857" customWidth="1"/>
    <col min="1293" max="1293" width="11.83203125" style="857" bestFit="1" customWidth="1"/>
    <col min="1294" max="1536" width="9.33203125" style="857"/>
    <col min="1537" max="1537" width="6.83203125" style="857" customWidth="1"/>
    <col min="1538" max="1538" width="49.6640625" style="857" customWidth="1"/>
    <col min="1539" max="1540" width="12.83203125" style="857" customWidth="1"/>
    <col min="1541" max="1541" width="14" style="857" customWidth="1"/>
    <col min="1542" max="1543" width="15" style="857" customWidth="1"/>
    <col min="1544" max="1544" width="14.6640625" style="857" customWidth="1"/>
    <col min="1545" max="1545" width="13.83203125" style="857" customWidth="1"/>
    <col min="1546" max="1546" width="9.33203125" style="857" customWidth="1"/>
    <col min="1547" max="1547" width="11.83203125" style="857" bestFit="1" customWidth="1"/>
    <col min="1548" max="1548" width="9.33203125" style="857" customWidth="1"/>
    <col min="1549" max="1549" width="11.83203125" style="857" bestFit="1" customWidth="1"/>
    <col min="1550" max="1792" width="9.33203125" style="857"/>
    <col min="1793" max="1793" width="6.83203125" style="857" customWidth="1"/>
    <col min="1794" max="1794" width="49.6640625" style="857" customWidth="1"/>
    <col min="1795" max="1796" width="12.83203125" style="857" customWidth="1"/>
    <col min="1797" max="1797" width="14" style="857" customWidth="1"/>
    <col min="1798" max="1799" width="15" style="857" customWidth="1"/>
    <col min="1800" max="1800" width="14.6640625" style="857" customWidth="1"/>
    <col min="1801" max="1801" width="13.83203125" style="857" customWidth="1"/>
    <col min="1802" max="1802" width="9.33203125" style="857" customWidth="1"/>
    <col min="1803" max="1803" width="11.83203125" style="857" bestFit="1" customWidth="1"/>
    <col min="1804" max="1804" width="9.33203125" style="857" customWidth="1"/>
    <col min="1805" max="1805" width="11.83203125" style="857" bestFit="1" customWidth="1"/>
    <col min="1806" max="2048" width="9.33203125" style="857"/>
    <col min="2049" max="2049" width="6.83203125" style="857" customWidth="1"/>
    <col min="2050" max="2050" width="49.6640625" style="857" customWidth="1"/>
    <col min="2051" max="2052" width="12.83203125" style="857" customWidth="1"/>
    <col min="2053" max="2053" width="14" style="857" customWidth="1"/>
    <col min="2054" max="2055" width="15" style="857" customWidth="1"/>
    <col min="2056" max="2056" width="14.6640625" style="857" customWidth="1"/>
    <col min="2057" max="2057" width="13.83203125" style="857" customWidth="1"/>
    <col min="2058" max="2058" width="9.33203125" style="857" customWidth="1"/>
    <col min="2059" max="2059" width="11.83203125" style="857" bestFit="1" customWidth="1"/>
    <col min="2060" max="2060" width="9.33203125" style="857" customWidth="1"/>
    <col min="2061" max="2061" width="11.83203125" style="857" bestFit="1" customWidth="1"/>
    <col min="2062" max="2304" width="9.33203125" style="857"/>
    <col min="2305" max="2305" width="6.83203125" style="857" customWidth="1"/>
    <col min="2306" max="2306" width="49.6640625" style="857" customWidth="1"/>
    <col min="2307" max="2308" width="12.83203125" style="857" customWidth="1"/>
    <col min="2309" max="2309" width="14" style="857" customWidth="1"/>
    <col min="2310" max="2311" width="15" style="857" customWidth="1"/>
    <col min="2312" max="2312" width="14.6640625" style="857" customWidth="1"/>
    <col min="2313" max="2313" width="13.83203125" style="857" customWidth="1"/>
    <col min="2314" max="2314" width="9.33203125" style="857" customWidth="1"/>
    <col min="2315" max="2315" width="11.83203125" style="857" bestFit="1" customWidth="1"/>
    <col min="2316" max="2316" width="9.33203125" style="857" customWidth="1"/>
    <col min="2317" max="2317" width="11.83203125" style="857" bestFit="1" customWidth="1"/>
    <col min="2318" max="2560" width="9.33203125" style="857"/>
    <col min="2561" max="2561" width="6.83203125" style="857" customWidth="1"/>
    <col min="2562" max="2562" width="49.6640625" style="857" customWidth="1"/>
    <col min="2563" max="2564" width="12.83203125" style="857" customWidth="1"/>
    <col min="2565" max="2565" width="14" style="857" customWidth="1"/>
    <col min="2566" max="2567" width="15" style="857" customWidth="1"/>
    <col min="2568" max="2568" width="14.6640625" style="857" customWidth="1"/>
    <col min="2569" max="2569" width="13.83203125" style="857" customWidth="1"/>
    <col min="2570" max="2570" width="9.33203125" style="857" customWidth="1"/>
    <col min="2571" max="2571" width="11.83203125" style="857" bestFit="1" customWidth="1"/>
    <col min="2572" max="2572" width="9.33203125" style="857" customWidth="1"/>
    <col min="2573" max="2573" width="11.83203125" style="857" bestFit="1" customWidth="1"/>
    <col min="2574" max="2816" width="9.33203125" style="857"/>
    <col min="2817" max="2817" width="6.83203125" style="857" customWidth="1"/>
    <col min="2818" max="2818" width="49.6640625" style="857" customWidth="1"/>
    <col min="2819" max="2820" width="12.83203125" style="857" customWidth="1"/>
    <col min="2821" max="2821" width="14" style="857" customWidth="1"/>
    <col min="2822" max="2823" width="15" style="857" customWidth="1"/>
    <col min="2824" max="2824" width="14.6640625" style="857" customWidth="1"/>
    <col min="2825" max="2825" width="13.83203125" style="857" customWidth="1"/>
    <col min="2826" max="2826" width="9.33203125" style="857" customWidth="1"/>
    <col min="2827" max="2827" width="11.83203125" style="857" bestFit="1" customWidth="1"/>
    <col min="2828" max="2828" width="9.33203125" style="857" customWidth="1"/>
    <col min="2829" max="2829" width="11.83203125" style="857" bestFit="1" customWidth="1"/>
    <col min="2830" max="3072" width="9.33203125" style="857"/>
    <col min="3073" max="3073" width="6.83203125" style="857" customWidth="1"/>
    <col min="3074" max="3074" width="49.6640625" style="857" customWidth="1"/>
    <col min="3075" max="3076" width="12.83203125" style="857" customWidth="1"/>
    <col min="3077" max="3077" width="14" style="857" customWidth="1"/>
    <col min="3078" max="3079" width="15" style="857" customWidth="1"/>
    <col min="3080" max="3080" width="14.6640625" style="857" customWidth="1"/>
    <col min="3081" max="3081" width="13.83203125" style="857" customWidth="1"/>
    <col min="3082" max="3082" width="9.33203125" style="857" customWidth="1"/>
    <col min="3083" max="3083" width="11.83203125" style="857" bestFit="1" customWidth="1"/>
    <col min="3084" max="3084" width="9.33203125" style="857" customWidth="1"/>
    <col min="3085" max="3085" width="11.83203125" style="857" bestFit="1" customWidth="1"/>
    <col min="3086" max="3328" width="9.33203125" style="857"/>
    <col min="3329" max="3329" width="6.83203125" style="857" customWidth="1"/>
    <col min="3330" max="3330" width="49.6640625" style="857" customWidth="1"/>
    <col min="3331" max="3332" width="12.83203125" style="857" customWidth="1"/>
    <col min="3333" max="3333" width="14" style="857" customWidth="1"/>
    <col min="3334" max="3335" width="15" style="857" customWidth="1"/>
    <col min="3336" max="3336" width="14.6640625" style="857" customWidth="1"/>
    <col min="3337" max="3337" width="13.83203125" style="857" customWidth="1"/>
    <col min="3338" max="3338" width="9.33203125" style="857" customWidth="1"/>
    <col min="3339" max="3339" width="11.83203125" style="857" bestFit="1" customWidth="1"/>
    <col min="3340" max="3340" width="9.33203125" style="857" customWidth="1"/>
    <col min="3341" max="3341" width="11.83203125" style="857" bestFit="1" customWidth="1"/>
    <col min="3342" max="3584" width="9.33203125" style="857"/>
    <col min="3585" max="3585" width="6.83203125" style="857" customWidth="1"/>
    <col min="3586" max="3586" width="49.6640625" style="857" customWidth="1"/>
    <col min="3587" max="3588" width="12.83203125" style="857" customWidth="1"/>
    <col min="3589" max="3589" width="14" style="857" customWidth="1"/>
    <col min="3590" max="3591" width="15" style="857" customWidth="1"/>
    <col min="3592" max="3592" width="14.6640625" style="857" customWidth="1"/>
    <col min="3593" max="3593" width="13.83203125" style="857" customWidth="1"/>
    <col min="3594" max="3594" width="9.33203125" style="857" customWidth="1"/>
    <col min="3595" max="3595" width="11.83203125" style="857" bestFit="1" customWidth="1"/>
    <col min="3596" max="3596" width="9.33203125" style="857" customWidth="1"/>
    <col min="3597" max="3597" width="11.83203125" style="857" bestFit="1" customWidth="1"/>
    <col min="3598" max="3840" width="9.33203125" style="857"/>
    <col min="3841" max="3841" width="6.83203125" style="857" customWidth="1"/>
    <col min="3842" max="3842" width="49.6640625" style="857" customWidth="1"/>
    <col min="3843" max="3844" width="12.83203125" style="857" customWidth="1"/>
    <col min="3845" max="3845" width="14" style="857" customWidth="1"/>
    <col min="3846" max="3847" width="15" style="857" customWidth="1"/>
    <col min="3848" max="3848" width="14.6640625" style="857" customWidth="1"/>
    <col min="3849" max="3849" width="13.83203125" style="857" customWidth="1"/>
    <col min="3850" max="3850" width="9.33203125" style="857" customWidth="1"/>
    <col min="3851" max="3851" width="11.83203125" style="857" bestFit="1" customWidth="1"/>
    <col min="3852" max="3852" width="9.33203125" style="857" customWidth="1"/>
    <col min="3853" max="3853" width="11.83203125" style="857" bestFit="1" customWidth="1"/>
    <col min="3854" max="4096" width="9.33203125" style="857"/>
    <col min="4097" max="4097" width="6.83203125" style="857" customWidth="1"/>
    <col min="4098" max="4098" width="49.6640625" style="857" customWidth="1"/>
    <col min="4099" max="4100" width="12.83203125" style="857" customWidth="1"/>
    <col min="4101" max="4101" width="14" style="857" customWidth="1"/>
    <col min="4102" max="4103" width="15" style="857" customWidth="1"/>
    <col min="4104" max="4104" width="14.6640625" style="857" customWidth="1"/>
    <col min="4105" max="4105" width="13.83203125" style="857" customWidth="1"/>
    <col min="4106" max="4106" width="9.33203125" style="857" customWidth="1"/>
    <col min="4107" max="4107" width="11.83203125" style="857" bestFit="1" customWidth="1"/>
    <col min="4108" max="4108" width="9.33203125" style="857" customWidth="1"/>
    <col min="4109" max="4109" width="11.83203125" style="857" bestFit="1" customWidth="1"/>
    <col min="4110" max="4352" width="9.33203125" style="857"/>
    <col min="4353" max="4353" width="6.83203125" style="857" customWidth="1"/>
    <col min="4354" max="4354" width="49.6640625" style="857" customWidth="1"/>
    <col min="4355" max="4356" width="12.83203125" style="857" customWidth="1"/>
    <col min="4357" max="4357" width="14" style="857" customWidth="1"/>
    <col min="4358" max="4359" width="15" style="857" customWidth="1"/>
    <col min="4360" max="4360" width="14.6640625" style="857" customWidth="1"/>
    <col min="4361" max="4361" width="13.83203125" style="857" customWidth="1"/>
    <col min="4362" max="4362" width="9.33203125" style="857" customWidth="1"/>
    <col min="4363" max="4363" width="11.83203125" style="857" bestFit="1" customWidth="1"/>
    <col min="4364" max="4364" width="9.33203125" style="857" customWidth="1"/>
    <col min="4365" max="4365" width="11.83203125" style="857" bestFit="1" customWidth="1"/>
    <col min="4366" max="4608" width="9.33203125" style="857"/>
    <col min="4609" max="4609" width="6.83203125" style="857" customWidth="1"/>
    <col min="4610" max="4610" width="49.6640625" style="857" customWidth="1"/>
    <col min="4611" max="4612" width="12.83203125" style="857" customWidth="1"/>
    <col min="4613" max="4613" width="14" style="857" customWidth="1"/>
    <col min="4614" max="4615" width="15" style="857" customWidth="1"/>
    <col min="4616" max="4616" width="14.6640625" style="857" customWidth="1"/>
    <col min="4617" max="4617" width="13.83203125" style="857" customWidth="1"/>
    <col min="4618" max="4618" width="9.33203125" style="857" customWidth="1"/>
    <col min="4619" max="4619" width="11.83203125" style="857" bestFit="1" customWidth="1"/>
    <col min="4620" max="4620" width="9.33203125" style="857" customWidth="1"/>
    <col min="4621" max="4621" width="11.83203125" style="857" bestFit="1" customWidth="1"/>
    <col min="4622" max="4864" width="9.33203125" style="857"/>
    <col min="4865" max="4865" width="6.83203125" style="857" customWidth="1"/>
    <col min="4866" max="4866" width="49.6640625" style="857" customWidth="1"/>
    <col min="4867" max="4868" width="12.83203125" style="857" customWidth="1"/>
    <col min="4869" max="4869" width="14" style="857" customWidth="1"/>
    <col min="4870" max="4871" width="15" style="857" customWidth="1"/>
    <col min="4872" max="4872" width="14.6640625" style="857" customWidth="1"/>
    <col min="4873" max="4873" width="13.83203125" style="857" customWidth="1"/>
    <col min="4874" max="4874" width="9.33203125" style="857" customWidth="1"/>
    <col min="4875" max="4875" width="11.83203125" style="857" bestFit="1" customWidth="1"/>
    <col min="4876" max="4876" width="9.33203125" style="857" customWidth="1"/>
    <col min="4877" max="4877" width="11.83203125" style="857" bestFit="1" customWidth="1"/>
    <col min="4878" max="5120" width="9.33203125" style="857"/>
    <col min="5121" max="5121" width="6.83203125" style="857" customWidth="1"/>
    <col min="5122" max="5122" width="49.6640625" style="857" customWidth="1"/>
    <col min="5123" max="5124" width="12.83203125" style="857" customWidth="1"/>
    <col min="5125" max="5125" width="14" style="857" customWidth="1"/>
    <col min="5126" max="5127" width="15" style="857" customWidth="1"/>
    <col min="5128" max="5128" width="14.6640625" style="857" customWidth="1"/>
    <col min="5129" max="5129" width="13.83203125" style="857" customWidth="1"/>
    <col min="5130" max="5130" width="9.33203125" style="857" customWidth="1"/>
    <col min="5131" max="5131" width="11.83203125" style="857" bestFit="1" customWidth="1"/>
    <col min="5132" max="5132" width="9.33203125" style="857" customWidth="1"/>
    <col min="5133" max="5133" width="11.83203125" style="857" bestFit="1" customWidth="1"/>
    <col min="5134" max="5376" width="9.33203125" style="857"/>
    <col min="5377" max="5377" width="6.83203125" style="857" customWidth="1"/>
    <col min="5378" max="5378" width="49.6640625" style="857" customWidth="1"/>
    <col min="5379" max="5380" width="12.83203125" style="857" customWidth="1"/>
    <col min="5381" max="5381" width="14" style="857" customWidth="1"/>
    <col min="5382" max="5383" width="15" style="857" customWidth="1"/>
    <col min="5384" max="5384" width="14.6640625" style="857" customWidth="1"/>
    <col min="5385" max="5385" width="13.83203125" style="857" customWidth="1"/>
    <col min="5386" max="5386" width="9.33203125" style="857" customWidth="1"/>
    <col min="5387" max="5387" width="11.83203125" style="857" bestFit="1" customWidth="1"/>
    <col min="5388" max="5388" width="9.33203125" style="857" customWidth="1"/>
    <col min="5389" max="5389" width="11.83203125" style="857" bestFit="1" customWidth="1"/>
    <col min="5390" max="5632" width="9.33203125" style="857"/>
    <col min="5633" max="5633" width="6.83203125" style="857" customWidth="1"/>
    <col min="5634" max="5634" width="49.6640625" style="857" customWidth="1"/>
    <col min="5635" max="5636" width="12.83203125" style="857" customWidth="1"/>
    <col min="5637" max="5637" width="14" style="857" customWidth="1"/>
    <col min="5638" max="5639" width="15" style="857" customWidth="1"/>
    <col min="5640" max="5640" width="14.6640625" style="857" customWidth="1"/>
    <col min="5641" max="5641" width="13.83203125" style="857" customWidth="1"/>
    <col min="5642" max="5642" width="9.33203125" style="857" customWidth="1"/>
    <col min="5643" max="5643" width="11.83203125" style="857" bestFit="1" customWidth="1"/>
    <col min="5644" max="5644" width="9.33203125" style="857" customWidth="1"/>
    <col min="5645" max="5645" width="11.83203125" style="857" bestFit="1" customWidth="1"/>
    <col min="5646" max="5888" width="9.33203125" style="857"/>
    <col min="5889" max="5889" width="6.83203125" style="857" customWidth="1"/>
    <col min="5890" max="5890" width="49.6640625" style="857" customWidth="1"/>
    <col min="5891" max="5892" width="12.83203125" style="857" customWidth="1"/>
    <col min="5893" max="5893" width="14" style="857" customWidth="1"/>
    <col min="5894" max="5895" width="15" style="857" customWidth="1"/>
    <col min="5896" max="5896" width="14.6640625" style="857" customWidth="1"/>
    <col min="5897" max="5897" width="13.83203125" style="857" customWidth="1"/>
    <col min="5898" max="5898" width="9.33203125" style="857" customWidth="1"/>
    <col min="5899" max="5899" width="11.83203125" style="857" bestFit="1" customWidth="1"/>
    <col min="5900" max="5900" width="9.33203125" style="857" customWidth="1"/>
    <col min="5901" max="5901" width="11.83203125" style="857" bestFit="1" customWidth="1"/>
    <col min="5902" max="6144" width="9.33203125" style="857"/>
    <col min="6145" max="6145" width="6.83203125" style="857" customWidth="1"/>
    <col min="6146" max="6146" width="49.6640625" style="857" customWidth="1"/>
    <col min="6147" max="6148" width="12.83203125" style="857" customWidth="1"/>
    <col min="6149" max="6149" width="14" style="857" customWidth="1"/>
    <col min="6150" max="6151" width="15" style="857" customWidth="1"/>
    <col min="6152" max="6152" width="14.6640625" style="857" customWidth="1"/>
    <col min="6153" max="6153" width="13.83203125" style="857" customWidth="1"/>
    <col min="6154" max="6154" width="9.33203125" style="857" customWidth="1"/>
    <col min="6155" max="6155" width="11.83203125" style="857" bestFit="1" customWidth="1"/>
    <col min="6156" max="6156" width="9.33203125" style="857" customWidth="1"/>
    <col min="6157" max="6157" width="11.83203125" style="857" bestFit="1" customWidth="1"/>
    <col min="6158" max="6400" width="9.33203125" style="857"/>
    <col min="6401" max="6401" width="6.83203125" style="857" customWidth="1"/>
    <col min="6402" max="6402" width="49.6640625" style="857" customWidth="1"/>
    <col min="6403" max="6404" width="12.83203125" style="857" customWidth="1"/>
    <col min="6405" max="6405" width="14" style="857" customWidth="1"/>
    <col min="6406" max="6407" width="15" style="857" customWidth="1"/>
    <col min="6408" max="6408" width="14.6640625" style="857" customWidth="1"/>
    <col min="6409" max="6409" width="13.83203125" style="857" customWidth="1"/>
    <col min="6410" max="6410" width="9.33203125" style="857" customWidth="1"/>
    <col min="6411" max="6411" width="11.83203125" style="857" bestFit="1" customWidth="1"/>
    <col min="6412" max="6412" width="9.33203125" style="857" customWidth="1"/>
    <col min="6413" max="6413" width="11.83203125" style="857" bestFit="1" customWidth="1"/>
    <col min="6414" max="6656" width="9.33203125" style="857"/>
    <col min="6657" max="6657" width="6.83203125" style="857" customWidth="1"/>
    <col min="6658" max="6658" width="49.6640625" style="857" customWidth="1"/>
    <col min="6659" max="6660" width="12.83203125" style="857" customWidth="1"/>
    <col min="6661" max="6661" width="14" style="857" customWidth="1"/>
    <col min="6662" max="6663" width="15" style="857" customWidth="1"/>
    <col min="6664" max="6664" width="14.6640625" style="857" customWidth="1"/>
    <col min="6665" max="6665" width="13.83203125" style="857" customWidth="1"/>
    <col min="6666" max="6666" width="9.33203125" style="857" customWidth="1"/>
    <col min="6667" max="6667" width="11.83203125" style="857" bestFit="1" customWidth="1"/>
    <col min="6668" max="6668" width="9.33203125" style="857" customWidth="1"/>
    <col min="6669" max="6669" width="11.83203125" style="857" bestFit="1" customWidth="1"/>
    <col min="6670" max="6912" width="9.33203125" style="857"/>
    <col min="6913" max="6913" width="6.83203125" style="857" customWidth="1"/>
    <col min="6914" max="6914" width="49.6640625" style="857" customWidth="1"/>
    <col min="6915" max="6916" width="12.83203125" style="857" customWidth="1"/>
    <col min="6917" max="6917" width="14" style="857" customWidth="1"/>
    <col min="6918" max="6919" width="15" style="857" customWidth="1"/>
    <col min="6920" max="6920" width="14.6640625" style="857" customWidth="1"/>
    <col min="6921" max="6921" width="13.83203125" style="857" customWidth="1"/>
    <col min="6922" max="6922" width="9.33203125" style="857" customWidth="1"/>
    <col min="6923" max="6923" width="11.83203125" style="857" bestFit="1" customWidth="1"/>
    <col min="6924" max="6924" width="9.33203125" style="857" customWidth="1"/>
    <col min="6925" max="6925" width="11.83203125" style="857" bestFit="1" customWidth="1"/>
    <col min="6926" max="7168" width="9.33203125" style="857"/>
    <col min="7169" max="7169" width="6.83203125" style="857" customWidth="1"/>
    <col min="7170" max="7170" width="49.6640625" style="857" customWidth="1"/>
    <col min="7171" max="7172" width="12.83203125" style="857" customWidth="1"/>
    <col min="7173" max="7173" width="14" style="857" customWidth="1"/>
    <col min="7174" max="7175" width="15" style="857" customWidth="1"/>
    <col min="7176" max="7176" width="14.6640625" style="857" customWidth="1"/>
    <col min="7177" max="7177" width="13.83203125" style="857" customWidth="1"/>
    <col min="7178" max="7178" width="9.33203125" style="857" customWidth="1"/>
    <col min="7179" max="7179" width="11.83203125" style="857" bestFit="1" customWidth="1"/>
    <col min="7180" max="7180" width="9.33203125" style="857" customWidth="1"/>
    <col min="7181" max="7181" width="11.83203125" style="857" bestFit="1" customWidth="1"/>
    <col min="7182" max="7424" width="9.33203125" style="857"/>
    <col min="7425" max="7425" width="6.83203125" style="857" customWidth="1"/>
    <col min="7426" max="7426" width="49.6640625" style="857" customWidth="1"/>
    <col min="7427" max="7428" width="12.83203125" style="857" customWidth="1"/>
    <col min="7429" max="7429" width="14" style="857" customWidth="1"/>
    <col min="7430" max="7431" width="15" style="857" customWidth="1"/>
    <col min="7432" max="7432" width="14.6640625" style="857" customWidth="1"/>
    <col min="7433" max="7433" width="13.83203125" style="857" customWidth="1"/>
    <col min="7434" max="7434" width="9.33203125" style="857" customWidth="1"/>
    <col min="7435" max="7435" width="11.83203125" style="857" bestFit="1" customWidth="1"/>
    <col min="7436" max="7436" width="9.33203125" style="857" customWidth="1"/>
    <col min="7437" max="7437" width="11.83203125" style="857" bestFit="1" customWidth="1"/>
    <col min="7438" max="7680" width="9.33203125" style="857"/>
    <col min="7681" max="7681" width="6.83203125" style="857" customWidth="1"/>
    <col min="7682" max="7682" width="49.6640625" style="857" customWidth="1"/>
    <col min="7683" max="7684" width="12.83203125" style="857" customWidth="1"/>
    <col min="7685" max="7685" width="14" style="857" customWidth="1"/>
    <col min="7686" max="7687" width="15" style="857" customWidth="1"/>
    <col min="7688" max="7688" width="14.6640625" style="857" customWidth="1"/>
    <col min="7689" max="7689" width="13.83203125" style="857" customWidth="1"/>
    <col min="7690" max="7690" width="9.33203125" style="857" customWidth="1"/>
    <col min="7691" max="7691" width="11.83203125" style="857" bestFit="1" customWidth="1"/>
    <col min="7692" max="7692" width="9.33203125" style="857" customWidth="1"/>
    <col min="7693" max="7693" width="11.83203125" style="857" bestFit="1" customWidth="1"/>
    <col min="7694" max="7936" width="9.33203125" style="857"/>
    <col min="7937" max="7937" width="6.83203125" style="857" customWidth="1"/>
    <col min="7938" max="7938" width="49.6640625" style="857" customWidth="1"/>
    <col min="7939" max="7940" width="12.83203125" style="857" customWidth="1"/>
    <col min="7941" max="7941" width="14" style="857" customWidth="1"/>
    <col min="7942" max="7943" width="15" style="857" customWidth="1"/>
    <col min="7944" max="7944" width="14.6640625" style="857" customWidth="1"/>
    <col min="7945" max="7945" width="13.83203125" style="857" customWidth="1"/>
    <col min="7946" max="7946" width="9.33203125" style="857" customWidth="1"/>
    <col min="7947" max="7947" width="11.83203125" style="857" bestFit="1" customWidth="1"/>
    <col min="7948" max="7948" width="9.33203125" style="857" customWidth="1"/>
    <col min="7949" max="7949" width="11.83203125" style="857" bestFit="1" customWidth="1"/>
    <col min="7950" max="8192" width="9.33203125" style="857"/>
    <col min="8193" max="8193" width="6.83203125" style="857" customWidth="1"/>
    <col min="8194" max="8194" width="49.6640625" style="857" customWidth="1"/>
    <col min="8195" max="8196" width="12.83203125" style="857" customWidth="1"/>
    <col min="8197" max="8197" width="14" style="857" customWidth="1"/>
    <col min="8198" max="8199" width="15" style="857" customWidth="1"/>
    <col min="8200" max="8200" width="14.6640625" style="857" customWidth="1"/>
    <col min="8201" max="8201" width="13.83203125" style="857" customWidth="1"/>
    <col min="8202" max="8202" width="9.33203125" style="857" customWidth="1"/>
    <col min="8203" max="8203" width="11.83203125" style="857" bestFit="1" customWidth="1"/>
    <col min="8204" max="8204" width="9.33203125" style="857" customWidth="1"/>
    <col min="8205" max="8205" width="11.83203125" style="857" bestFit="1" customWidth="1"/>
    <col min="8206" max="8448" width="9.33203125" style="857"/>
    <col min="8449" max="8449" width="6.83203125" style="857" customWidth="1"/>
    <col min="8450" max="8450" width="49.6640625" style="857" customWidth="1"/>
    <col min="8451" max="8452" width="12.83203125" style="857" customWidth="1"/>
    <col min="8453" max="8453" width="14" style="857" customWidth="1"/>
    <col min="8454" max="8455" width="15" style="857" customWidth="1"/>
    <col min="8456" max="8456" width="14.6640625" style="857" customWidth="1"/>
    <col min="8457" max="8457" width="13.83203125" style="857" customWidth="1"/>
    <col min="8458" max="8458" width="9.33203125" style="857" customWidth="1"/>
    <col min="8459" max="8459" width="11.83203125" style="857" bestFit="1" customWidth="1"/>
    <col min="8460" max="8460" width="9.33203125" style="857" customWidth="1"/>
    <col min="8461" max="8461" width="11.83203125" style="857" bestFit="1" customWidth="1"/>
    <col min="8462" max="8704" width="9.33203125" style="857"/>
    <col min="8705" max="8705" width="6.83203125" style="857" customWidth="1"/>
    <col min="8706" max="8706" width="49.6640625" style="857" customWidth="1"/>
    <col min="8707" max="8708" width="12.83203125" style="857" customWidth="1"/>
    <col min="8709" max="8709" width="14" style="857" customWidth="1"/>
    <col min="8710" max="8711" width="15" style="857" customWidth="1"/>
    <col min="8712" max="8712" width="14.6640625" style="857" customWidth="1"/>
    <col min="8713" max="8713" width="13.83203125" style="857" customWidth="1"/>
    <col min="8714" max="8714" width="9.33203125" style="857" customWidth="1"/>
    <col min="8715" max="8715" width="11.83203125" style="857" bestFit="1" customWidth="1"/>
    <col min="8716" max="8716" width="9.33203125" style="857" customWidth="1"/>
    <col min="8717" max="8717" width="11.83203125" style="857" bestFit="1" customWidth="1"/>
    <col min="8718" max="8960" width="9.33203125" style="857"/>
    <col min="8961" max="8961" width="6.83203125" style="857" customWidth="1"/>
    <col min="8962" max="8962" width="49.6640625" style="857" customWidth="1"/>
    <col min="8963" max="8964" width="12.83203125" style="857" customWidth="1"/>
    <col min="8965" max="8965" width="14" style="857" customWidth="1"/>
    <col min="8966" max="8967" width="15" style="857" customWidth="1"/>
    <col min="8968" max="8968" width="14.6640625" style="857" customWidth="1"/>
    <col min="8969" max="8969" width="13.83203125" style="857" customWidth="1"/>
    <col min="8970" max="8970" width="9.33203125" style="857" customWidth="1"/>
    <col min="8971" max="8971" width="11.83203125" style="857" bestFit="1" customWidth="1"/>
    <col min="8972" max="8972" width="9.33203125" style="857" customWidth="1"/>
    <col min="8973" max="8973" width="11.83203125" style="857" bestFit="1" customWidth="1"/>
    <col min="8974" max="9216" width="9.33203125" style="857"/>
    <col min="9217" max="9217" width="6.83203125" style="857" customWidth="1"/>
    <col min="9218" max="9218" width="49.6640625" style="857" customWidth="1"/>
    <col min="9219" max="9220" width="12.83203125" style="857" customWidth="1"/>
    <col min="9221" max="9221" width="14" style="857" customWidth="1"/>
    <col min="9222" max="9223" width="15" style="857" customWidth="1"/>
    <col min="9224" max="9224" width="14.6640625" style="857" customWidth="1"/>
    <col min="9225" max="9225" width="13.83203125" style="857" customWidth="1"/>
    <col min="9226" max="9226" width="9.33203125" style="857" customWidth="1"/>
    <col min="9227" max="9227" width="11.83203125" style="857" bestFit="1" customWidth="1"/>
    <col min="9228" max="9228" width="9.33203125" style="857" customWidth="1"/>
    <col min="9229" max="9229" width="11.83203125" style="857" bestFit="1" customWidth="1"/>
    <col min="9230" max="9472" width="9.33203125" style="857"/>
    <col min="9473" max="9473" width="6.83203125" style="857" customWidth="1"/>
    <col min="9474" max="9474" width="49.6640625" style="857" customWidth="1"/>
    <col min="9475" max="9476" width="12.83203125" style="857" customWidth="1"/>
    <col min="9477" max="9477" width="14" style="857" customWidth="1"/>
    <col min="9478" max="9479" width="15" style="857" customWidth="1"/>
    <col min="9480" max="9480" width="14.6640625" style="857" customWidth="1"/>
    <col min="9481" max="9481" width="13.83203125" style="857" customWidth="1"/>
    <col min="9482" max="9482" width="9.33203125" style="857" customWidth="1"/>
    <col min="9483" max="9483" width="11.83203125" style="857" bestFit="1" customWidth="1"/>
    <col min="9484" max="9484" width="9.33203125" style="857" customWidth="1"/>
    <col min="9485" max="9485" width="11.83203125" style="857" bestFit="1" customWidth="1"/>
    <col min="9486" max="9728" width="9.33203125" style="857"/>
    <col min="9729" max="9729" width="6.83203125" style="857" customWidth="1"/>
    <col min="9730" max="9730" width="49.6640625" style="857" customWidth="1"/>
    <col min="9731" max="9732" width="12.83203125" style="857" customWidth="1"/>
    <col min="9733" max="9733" width="14" style="857" customWidth="1"/>
    <col min="9734" max="9735" width="15" style="857" customWidth="1"/>
    <col min="9736" max="9736" width="14.6640625" style="857" customWidth="1"/>
    <col min="9737" max="9737" width="13.83203125" style="857" customWidth="1"/>
    <col min="9738" max="9738" width="9.33203125" style="857" customWidth="1"/>
    <col min="9739" max="9739" width="11.83203125" style="857" bestFit="1" customWidth="1"/>
    <col min="9740" max="9740" width="9.33203125" style="857" customWidth="1"/>
    <col min="9741" max="9741" width="11.83203125" style="857" bestFit="1" customWidth="1"/>
    <col min="9742" max="9984" width="9.33203125" style="857"/>
    <col min="9985" max="9985" width="6.83203125" style="857" customWidth="1"/>
    <col min="9986" max="9986" width="49.6640625" style="857" customWidth="1"/>
    <col min="9987" max="9988" width="12.83203125" style="857" customWidth="1"/>
    <col min="9989" max="9989" width="14" style="857" customWidth="1"/>
    <col min="9990" max="9991" width="15" style="857" customWidth="1"/>
    <col min="9992" max="9992" width="14.6640625" style="857" customWidth="1"/>
    <col min="9993" max="9993" width="13.83203125" style="857" customWidth="1"/>
    <col min="9994" max="9994" width="9.33203125" style="857" customWidth="1"/>
    <col min="9995" max="9995" width="11.83203125" style="857" bestFit="1" customWidth="1"/>
    <col min="9996" max="9996" width="9.33203125" style="857" customWidth="1"/>
    <col min="9997" max="9997" width="11.83203125" style="857" bestFit="1" customWidth="1"/>
    <col min="9998" max="10240" width="9.33203125" style="857"/>
    <col min="10241" max="10241" width="6.83203125" style="857" customWidth="1"/>
    <col min="10242" max="10242" width="49.6640625" style="857" customWidth="1"/>
    <col min="10243" max="10244" width="12.83203125" style="857" customWidth="1"/>
    <col min="10245" max="10245" width="14" style="857" customWidth="1"/>
    <col min="10246" max="10247" width="15" style="857" customWidth="1"/>
    <col min="10248" max="10248" width="14.6640625" style="857" customWidth="1"/>
    <col min="10249" max="10249" width="13.83203125" style="857" customWidth="1"/>
    <col min="10250" max="10250" width="9.33203125" style="857" customWidth="1"/>
    <col min="10251" max="10251" width="11.83203125" style="857" bestFit="1" customWidth="1"/>
    <col min="10252" max="10252" width="9.33203125" style="857" customWidth="1"/>
    <col min="10253" max="10253" width="11.83203125" style="857" bestFit="1" customWidth="1"/>
    <col min="10254" max="10496" width="9.33203125" style="857"/>
    <col min="10497" max="10497" width="6.83203125" style="857" customWidth="1"/>
    <col min="10498" max="10498" width="49.6640625" style="857" customWidth="1"/>
    <col min="10499" max="10500" width="12.83203125" style="857" customWidth="1"/>
    <col min="10501" max="10501" width="14" style="857" customWidth="1"/>
    <col min="10502" max="10503" width="15" style="857" customWidth="1"/>
    <col min="10504" max="10504" width="14.6640625" style="857" customWidth="1"/>
    <col min="10505" max="10505" width="13.83203125" style="857" customWidth="1"/>
    <col min="10506" max="10506" width="9.33203125" style="857" customWidth="1"/>
    <col min="10507" max="10507" width="11.83203125" style="857" bestFit="1" customWidth="1"/>
    <col min="10508" max="10508" width="9.33203125" style="857" customWidth="1"/>
    <col min="10509" max="10509" width="11.83203125" style="857" bestFit="1" customWidth="1"/>
    <col min="10510" max="10752" width="9.33203125" style="857"/>
    <col min="10753" max="10753" width="6.83203125" style="857" customWidth="1"/>
    <col min="10754" max="10754" width="49.6640625" style="857" customWidth="1"/>
    <col min="10755" max="10756" width="12.83203125" style="857" customWidth="1"/>
    <col min="10757" max="10757" width="14" style="857" customWidth="1"/>
    <col min="10758" max="10759" width="15" style="857" customWidth="1"/>
    <col min="10760" max="10760" width="14.6640625" style="857" customWidth="1"/>
    <col min="10761" max="10761" width="13.83203125" style="857" customWidth="1"/>
    <col min="10762" max="10762" width="9.33203125" style="857" customWidth="1"/>
    <col min="10763" max="10763" width="11.83203125" style="857" bestFit="1" customWidth="1"/>
    <col min="10764" max="10764" width="9.33203125" style="857" customWidth="1"/>
    <col min="10765" max="10765" width="11.83203125" style="857" bestFit="1" customWidth="1"/>
    <col min="10766" max="11008" width="9.33203125" style="857"/>
    <col min="11009" max="11009" width="6.83203125" style="857" customWidth="1"/>
    <col min="11010" max="11010" width="49.6640625" style="857" customWidth="1"/>
    <col min="11011" max="11012" width="12.83203125" style="857" customWidth="1"/>
    <col min="11013" max="11013" width="14" style="857" customWidth="1"/>
    <col min="11014" max="11015" width="15" style="857" customWidth="1"/>
    <col min="11016" max="11016" width="14.6640625" style="857" customWidth="1"/>
    <col min="11017" max="11017" width="13.83203125" style="857" customWidth="1"/>
    <col min="11018" max="11018" width="9.33203125" style="857" customWidth="1"/>
    <col min="11019" max="11019" width="11.83203125" style="857" bestFit="1" customWidth="1"/>
    <col min="11020" max="11020" width="9.33203125" style="857" customWidth="1"/>
    <col min="11021" max="11021" width="11.83203125" style="857" bestFit="1" customWidth="1"/>
    <col min="11022" max="11264" width="9.33203125" style="857"/>
    <col min="11265" max="11265" width="6.83203125" style="857" customWidth="1"/>
    <col min="11266" max="11266" width="49.6640625" style="857" customWidth="1"/>
    <col min="11267" max="11268" width="12.83203125" style="857" customWidth="1"/>
    <col min="11269" max="11269" width="14" style="857" customWidth="1"/>
    <col min="11270" max="11271" width="15" style="857" customWidth="1"/>
    <col min="11272" max="11272" width="14.6640625" style="857" customWidth="1"/>
    <col min="11273" max="11273" width="13.83203125" style="857" customWidth="1"/>
    <col min="11274" max="11274" width="9.33203125" style="857" customWidth="1"/>
    <col min="11275" max="11275" width="11.83203125" style="857" bestFit="1" customWidth="1"/>
    <col min="11276" max="11276" width="9.33203125" style="857" customWidth="1"/>
    <col min="11277" max="11277" width="11.83203125" style="857" bestFit="1" customWidth="1"/>
    <col min="11278" max="11520" width="9.33203125" style="857"/>
    <col min="11521" max="11521" width="6.83203125" style="857" customWidth="1"/>
    <col min="11522" max="11522" width="49.6640625" style="857" customWidth="1"/>
    <col min="11523" max="11524" width="12.83203125" style="857" customWidth="1"/>
    <col min="11525" max="11525" width="14" style="857" customWidth="1"/>
    <col min="11526" max="11527" width="15" style="857" customWidth="1"/>
    <col min="11528" max="11528" width="14.6640625" style="857" customWidth="1"/>
    <col min="11529" max="11529" width="13.83203125" style="857" customWidth="1"/>
    <col min="11530" max="11530" width="9.33203125" style="857" customWidth="1"/>
    <col min="11531" max="11531" width="11.83203125" style="857" bestFit="1" customWidth="1"/>
    <col min="11532" max="11532" width="9.33203125" style="857" customWidth="1"/>
    <col min="11533" max="11533" width="11.83203125" style="857" bestFit="1" customWidth="1"/>
    <col min="11534" max="11776" width="9.33203125" style="857"/>
    <col min="11777" max="11777" width="6.83203125" style="857" customWidth="1"/>
    <col min="11778" max="11778" width="49.6640625" style="857" customWidth="1"/>
    <col min="11779" max="11780" width="12.83203125" style="857" customWidth="1"/>
    <col min="11781" max="11781" width="14" style="857" customWidth="1"/>
    <col min="11782" max="11783" width="15" style="857" customWidth="1"/>
    <col min="11784" max="11784" width="14.6640625" style="857" customWidth="1"/>
    <col min="11785" max="11785" width="13.83203125" style="857" customWidth="1"/>
    <col min="11786" max="11786" width="9.33203125" style="857" customWidth="1"/>
    <col min="11787" max="11787" width="11.83203125" style="857" bestFit="1" customWidth="1"/>
    <col min="11788" max="11788" width="9.33203125" style="857" customWidth="1"/>
    <col min="11789" max="11789" width="11.83203125" style="857" bestFit="1" customWidth="1"/>
    <col min="11790" max="12032" width="9.33203125" style="857"/>
    <col min="12033" max="12033" width="6.83203125" style="857" customWidth="1"/>
    <col min="12034" max="12034" width="49.6640625" style="857" customWidth="1"/>
    <col min="12035" max="12036" width="12.83203125" style="857" customWidth="1"/>
    <col min="12037" max="12037" width="14" style="857" customWidth="1"/>
    <col min="12038" max="12039" width="15" style="857" customWidth="1"/>
    <col min="12040" max="12040" width="14.6640625" style="857" customWidth="1"/>
    <col min="12041" max="12041" width="13.83203125" style="857" customWidth="1"/>
    <col min="12042" max="12042" width="9.33203125" style="857" customWidth="1"/>
    <col min="12043" max="12043" width="11.83203125" style="857" bestFit="1" customWidth="1"/>
    <col min="12044" max="12044" width="9.33203125" style="857" customWidth="1"/>
    <col min="12045" max="12045" width="11.83203125" style="857" bestFit="1" customWidth="1"/>
    <col min="12046" max="12288" width="9.33203125" style="857"/>
    <col min="12289" max="12289" width="6.83203125" style="857" customWidth="1"/>
    <col min="12290" max="12290" width="49.6640625" style="857" customWidth="1"/>
    <col min="12291" max="12292" width="12.83203125" style="857" customWidth="1"/>
    <col min="12293" max="12293" width="14" style="857" customWidth="1"/>
    <col min="12294" max="12295" width="15" style="857" customWidth="1"/>
    <col min="12296" max="12296" width="14.6640625" style="857" customWidth="1"/>
    <col min="12297" max="12297" width="13.83203125" style="857" customWidth="1"/>
    <col min="12298" max="12298" width="9.33203125" style="857" customWidth="1"/>
    <col min="12299" max="12299" width="11.83203125" style="857" bestFit="1" customWidth="1"/>
    <col min="12300" max="12300" width="9.33203125" style="857" customWidth="1"/>
    <col min="12301" max="12301" width="11.83203125" style="857" bestFit="1" customWidth="1"/>
    <col min="12302" max="12544" width="9.33203125" style="857"/>
    <col min="12545" max="12545" width="6.83203125" style="857" customWidth="1"/>
    <col min="12546" max="12546" width="49.6640625" style="857" customWidth="1"/>
    <col min="12547" max="12548" width="12.83203125" style="857" customWidth="1"/>
    <col min="12549" max="12549" width="14" style="857" customWidth="1"/>
    <col min="12550" max="12551" width="15" style="857" customWidth="1"/>
    <col min="12552" max="12552" width="14.6640625" style="857" customWidth="1"/>
    <col min="12553" max="12553" width="13.83203125" style="857" customWidth="1"/>
    <col min="12554" max="12554" width="9.33203125" style="857" customWidth="1"/>
    <col min="12555" max="12555" width="11.83203125" style="857" bestFit="1" customWidth="1"/>
    <col min="12556" max="12556" width="9.33203125" style="857" customWidth="1"/>
    <col min="12557" max="12557" width="11.83203125" style="857" bestFit="1" customWidth="1"/>
    <col min="12558" max="12800" width="9.33203125" style="857"/>
    <col min="12801" max="12801" width="6.83203125" style="857" customWidth="1"/>
    <col min="12802" max="12802" width="49.6640625" style="857" customWidth="1"/>
    <col min="12803" max="12804" width="12.83203125" style="857" customWidth="1"/>
    <col min="12805" max="12805" width="14" style="857" customWidth="1"/>
    <col min="12806" max="12807" width="15" style="857" customWidth="1"/>
    <col min="12808" max="12808" width="14.6640625" style="857" customWidth="1"/>
    <col min="12809" max="12809" width="13.83203125" style="857" customWidth="1"/>
    <col min="12810" max="12810" width="9.33203125" style="857" customWidth="1"/>
    <col min="12811" max="12811" width="11.83203125" style="857" bestFit="1" customWidth="1"/>
    <col min="12812" max="12812" width="9.33203125" style="857" customWidth="1"/>
    <col min="12813" max="12813" width="11.83203125" style="857" bestFit="1" customWidth="1"/>
    <col min="12814" max="13056" width="9.33203125" style="857"/>
    <col min="13057" max="13057" width="6.83203125" style="857" customWidth="1"/>
    <col min="13058" max="13058" width="49.6640625" style="857" customWidth="1"/>
    <col min="13059" max="13060" width="12.83203125" style="857" customWidth="1"/>
    <col min="13061" max="13061" width="14" style="857" customWidth="1"/>
    <col min="13062" max="13063" width="15" style="857" customWidth="1"/>
    <col min="13064" max="13064" width="14.6640625" style="857" customWidth="1"/>
    <col min="13065" max="13065" width="13.83203125" style="857" customWidth="1"/>
    <col min="13066" max="13066" width="9.33203125" style="857" customWidth="1"/>
    <col min="13067" max="13067" width="11.83203125" style="857" bestFit="1" customWidth="1"/>
    <col min="13068" max="13068" width="9.33203125" style="857" customWidth="1"/>
    <col min="13069" max="13069" width="11.83203125" style="857" bestFit="1" customWidth="1"/>
    <col min="13070" max="13312" width="9.33203125" style="857"/>
    <col min="13313" max="13313" width="6.83203125" style="857" customWidth="1"/>
    <col min="13314" max="13314" width="49.6640625" style="857" customWidth="1"/>
    <col min="13315" max="13316" width="12.83203125" style="857" customWidth="1"/>
    <col min="13317" max="13317" width="14" style="857" customWidth="1"/>
    <col min="13318" max="13319" width="15" style="857" customWidth="1"/>
    <col min="13320" max="13320" width="14.6640625" style="857" customWidth="1"/>
    <col min="13321" max="13321" width="13.83203125" style="857" customWidth="1"/>
    <col min="13322" max="13322" width="9.33203125" style="857" customWidth="1"/>
    <col min="13323" max="13323" width="11.83203125" style="857" bestFit="1" customWidth="1"/>
    <col min="13324" max="13324" width="9.33203125" style="857" customWidth="1"/>
    <col min="13325" max="13325" width="11.83203125" style="857" bestFit="1" customWidth="1"/>
    <col min="13326" max="13568" width="9.33203125" style="857"/>
    <col min="13569" max="13569" width="6.83203125" style="857" customWidth="1"/>
    <col min="13570" max="13570" width="49.6640625" style="857" customWidth="1"/>
    <col min="13571" max="13572" width="12.83203125" style="857" customWidth="1"/>
    <col min="13573" max="13573" width="14" style="857" customWidth="1"/>
    <col min="13574" max="13575" width="15" style="857" customWidth="1"/>
    <col min="13576" max="13576" width="14.6640625" style="857" customWidth="1"/>
    <col min="13577" max="13577" width="13.83203125" style="857" customWidth="1"/>
    <col min="13578" max="13578" width="9.33203125" style="857" customWidth="1"/>
    <col min="13579" max="13579" width="11.83203125" style="857" bestFit="1" customWidth="1"/>
    <col min="13580" max="13580" width="9.33203125" style="857" customWidth="1"/>
    <col min="13581" max="13581" width="11.83203125" style="857" bestFit="1" customWidth="1"/>
    <col min="13582" max="13824" width="9.33203125" style="857"/>
    <col min="13825" max="13825" width="6.83203125" style="857" customWidth="1"/>
    <col min="13826" max="13826" width="49.6640625" style="857" customWidth="1"/>
    <col min="13827" max="13828" width="12.83203125" style="857" customWidth="1"/>
    <col min="13829" max="13829" width="14" style="857" customWidth="1"/>
    <col min="13830" max="13831" width="15" style="857" customWidth="1"/>
    <col min="13832" max="13832" width="14.6640625" style="857" customWidth="1"/>
    <col min="13833" max="13833" width="13.83203125" style="857" customWidth="1"/>
    <col min="13834" max="13834" width="9.33203125" style="857" customWidth="1"/>
    <col min="13835" max="13835" width="11.83203125" style="857" bestFit="1" customWidth="1"/>
    <col min="13836" max="13836" width="9.33203125" style="857" customWidth="1"/>
    <col min="13837" max="13837" width="11.83203125" style="857" bestFit="1" customWidth="1"/>
    <col min="13838" max="14080" width="9.33203125" style="857"/>
    <col min="14081" max="14081" width="6.83203125" style="857" customWidth="1"/>
    <col min="14082" max="14082" width="49.6640625" style="857" customWidth="1"/>
    <col min="14083" max="14084" width="12.83203125" style="857" customWidth="1"/>
    <col min="14085" max="14085" width="14" style="857" customWidth="1"/>
    <col min="14086" max="14087" width="15" style="857" customWidth="1"/>
    <col min="14088" max="14088" width="14.6640625" style="857" customWidth="1"/>
    <col min="14089" max="14089" width="13.83203125" style="857" customWidth="1"/>
    <col min="14090" max="14090" width="9.33203125" style="857" customWidth="1"/>
    <col min="14091" max="14091" width="11.83203125" style="857" bestFit="1" customWidth="1"/>
    <col min="14092" max="14092" width="9.33203125" style="857" customWidth="1"/>
    <col min="14093" max="14093" width="11.83203125" style="857" bestFit="1" customWidth="1"/>
    <col min="14094" max="14336" width="9.33203125" style="857"/>
    <col min="14337" max="14337" width="6.83203125" style="857" customWidth="1"/>
    <col min="14338" max="14338" width="49.6640625" style="857" customWidth="1"/>
    <col min="14339" max="14340" width="12.83203125" style="857" customWidth="1"/>
    <col min="14341" max="14341" width="14" style="857" customWidth="1"/>
    <col min="14342" max="14343" width="15" style="857" customWidth="1"/>
    <col min="14344" max="14344" width="14.6640625" style="857" customWidth="1"/>
    <col min="14345" max="14345" width="13.83203125" style="857" customWidth="1"/>
    <col min="14346" max="14346" width="9.33203125" style="857" customWidth="1"/>
    <col min="14347" max="14347" width="11.83203125" style="857" bestFit="1" customWidth="1"/>
    <col min="14348" max="14348" width="9.33203125" style="857" customWidth="1"/>
    <col min="14349" max="14349" width="11.83203125" style="857" bestFit="1" customWidth="1"/>
    <col min="14350" max="14592" width="9.33203125" style="857"/>
    <col min="14593" max="14593" width="6.83203125" style="857" customWidth="1"/>
    <col min="14594" max="14594" width="49.6640625" style="857" customWidth="1"/>
    <col min="14595" max="14596" width="12.83203125" style="857" customWidth="1"/>
    <col min="14597" max="14597" width="14" style="857" customWidth="1"/>
    <col min="14598" max="14599" width="15" style="857" customWidth="1"/>
    <col min="14600" max="14600" width="14.6640625" style="857" customWidth="1"/>
    <col min="14601" max="14601" width="13.83203125" style="857" customWidth="1"/>
    <col min="14602" max="14602" width="9.33203125" style="857" customWidth="1"/>
    <col min="14603" max="14603" width="11.83203125" style="857" bestFit="1" customWidth="1"/>
    <col min="14604" max="14604" width="9.33203125" style="857" customWidth="1"/>
    <col min="14605" max="14605" width="11.83203125" style="857" bestFit="1" customWidth="1"/>
    <col min="14606" max="14848" width="9.33203125" style="857"/>
    <col min="14849" max="14849" width="6.83203125" style="857" customWidth="1"/>
    <col min="14850" max="14850" width="49.6640625" style="857" customWidth="1"/>
    <col min="14851" max="14852" width="12.83203125" style="857" customWidth="1"/>
    <col min="14853" max="14853" width="14" style="857" customWidth="1"/>
    <col min="14854" max="14855" width="15" style="857" customWidth="1"/>
    <col min="14856" max="14856" width="14.6640625" style="857" customWidth="1"/>
    <col min="14857" max="14857" width="13.83203125" style="857" customWidth="1"/>
    <col min="14858" max="14858" width="9.33203125" style="857" customWidth="1"/>
    <col min="14859" max="14859" width="11.83203125" style="857" bestFit="1" customWidth="1"/>
    <col min="14860" max="14860" width="9.33203125" style="857" customWidth="1"/>
    <col min="14861" max="14861" width="11.83203125" style="857" bestFit="1" customWidth="1"/>
    <col min="14862" max="15104" width="9.33203125" style="857"/>
    <col min="15105" max="15105" width="6.83203125" style="857" customWidth="1"/>
    <col min="15106" max="15106" width="49.6640625" style="857" customWidth="1"/>
    <col min="15107" max="15108" width="12.83203125" style="857" customWidth="1"/>
    <col min="15109" max="15109" width="14" style="857" customWidth="1"/>
    <col min="15110" max="15111" width="15" style="857" customWidth="1"/>
    <col min="15112" max="15112" width="14.6640625" style="857" customWidth="1"/>
    <col min="15113" max="15113" width="13.83203125" style="857" customWidth="1"/>
    <col min="15114" max="15114" width="9.33203125" style="857" customWidth="1"/>
    <col min="15115" max="15115" width="11.83203125" style="857" bestFit="1" customWidth="1"/>
    <col min="15116" max="15116" width="9.33203125" style="857" customWidth="1"/>
    <col min="15117" max="15117" width="11.83203125" style="857" bestFit="1" customWidth="1"/>
    <col min="15118" max="15360" width="9.33203125" style="857"/>
    <col min="15361" max="15361" width="6.83203125" style="857" customWidth="1"/>
    <col min="15362" max="15362" width="49.6640625" style="857" customWidth="1"/>
    <col min="15363" max="15364" width="12.83203125" style="857" customWidth="1"/>
    <col min="15365" max="15365" width="14" style="857" customWidth="1"/>
    <col min="15366" max="15367" width="15" style="857" customWidth="1"/>
    <col min="15368" max="15368" width="14.6640625" style="857" customWidth="1"/>
    <col min="15369" max="15369" width="13.83203125" style="857" customWidth="1"/>
    <col min="15370" max="15370" width="9.33203125" style="857" customWidth="1"/>
    <col min="15371" max="15371" width="11.83203125" style="857" bestFit="1" customWidth="1"/>
    <col min="15372" max="15372" width="9.33203125" style="857" customWidth="1"/>
    <col min="15373" max="15373" width="11.83203125" style="857" bestFit="1" customWidth="1"/>
    <col min="15374" max="15616" width="9.33203125" style="857"/>
    <col min="15617" max="15617" width="6.83203125" style="857" customWidth="1"/>
    <col min="15618" max="15618" width="49.6640625" style="857" customWidth="1"/>
    <col min="15619" max="15620" width="12.83203125" style="857" customWidth="1"/>
    <col min="15621" max="15621" width="14" style="857" customWidth="1"/>
    <col min="15622" max="15623" width="15" style="857" customWidth="1"/>
    <col min="15624" max="15624" width="14.6640625" style="857" customWidth="1"/>
    <col min="15625" max="15625" width="13.83203125" style="857" customWidth="1"/>
    <col min="15626" max="15626" width="9.33203125" style="857" customWidth="1"/>
    <col min="15627" max="15627" width="11.83203125" style="857" bestFit="1" customWidth="1"/>
    <col min="15628" max="15628" width="9.33203125" style="857" customWidth="1"/>
    <col min="15629" max="15629" width="11.83203125" style="857" bestFit="1" customWidth="1"/>
    <col min="15630" max="15872" width="9.33203125" style="857"/>
    <col min="15873" max="15873" width="6.83203125" style="857" customWidth="1"/>
    <col min="15874" max="15874" width="49.6640625" style="857" customWidth="1"/>
    <col min="15875" max="15876" width="12.83203125" style="857" customWidth="1"/>
    <col min="15877" max="15877" width="14" style="857" customWidth="1"/>
    <col min="15878" max="15879" width="15" style="857" customWidth="1"/>
    <col min="15880" max="15880" width="14.6640625" style="857" customWidth="1"/>
    <col min="15881" max="15881" width="13.83203125" style="857" customWidth="1"/>
    <col min="15882" max="15882" width="9.33203125" style="857" customWidth="1"/>
    <col min="15883" max="15883" width="11.83203125" style="857" bestFit="1" customWidth="1"/>
    <col min="15884" max="15884" width="9.33203125" style="857" customWidth="1"/>
    <col min="15885" max="15885" width="11.83203125" style="857" bestFit="1" customWidth="1"/>
    <col min="15886" max="16128" width="9.33203125" style="857"/>
    <col min="16129" max="16129" width="6.83203125" style="857" customWidth="1"/>
    <col min="16130" max="16130" width="49.6640625" style="857" customWidth="1"/>
    <col min="16131" max="16132" width="12.83203125" style="857" customWidth="1"/>
    <col min="16133" max="16133" width="14" style="857" customWidth="1"/>
    <col min="16134" max="16135" width="15" style="857" customWidth="1"/>
    <col min="16136" max="16136" width="14.6640625" style="857" customWidth="1"/>
    <col min="16137" max="16137" width="13.83203125" style="857" customWidth="1"/>
    <col min="16138" max="16138" width="9.33203125" style="857" customWidth="1"/>
    <col min="16139" max="16139" width="11.83203125" style="857" bestFit="1" customWidth="1"/>
    <col min="16140" max="16140" width="9.33203125" style="857" customWidth="1"/>
    <col min="16141" max="16141" width="11.83203125" style="857" bestFit="1" customWidth="1"/>
    <col min="16142" max="16384" width="9.33203125" style="857"/>
  </cols>
  <sheetData>
    <row r="1" spans="1:13" ht="15" customHeight="1" thickBot="1" x14ac:dyDescent="0.3">
      <c r="I1" s="858" t="s">
        <v>1175</v>
      </c>
    </row>
    <row r="2" spans="1:13" s="833" customFormat="1" ht="26.25" customHeight="1" x14ac:dyDescent="0.2">
      <c r="A2" s="1615" t="s">
        <v>80</v>
      </c>
      <c r="B2" s="1617" t="s">
        <v>891</v>
      </c>
      <c r="C2" s="1615" t="s">
        <v>892</v>
      </c>
      <c r="D2" s="1615" t="s">
        <v>1464</v>
      </c>
      <c r="E2" s="1619"/>
      <c r="F2" s="1619"/>
      <c r="G2" s="1619"/>
      <c r="H2" s="1620"/>
      <c r="I2" s="1617" t="s">
        <v>893</v>
      </c>
    </row>
    <row r="3" spans="1:13" s="834" customFormat="1" ht="38.25" customHeight="1" thickBot="1" x14ac:dyDescent="0.25">
      <c r="A3" s="1616"/>
      <c r="B3" s="1618"/>
      <c r="C3" s="1618"/>
      <c r="D3" s="1616"/>
      <c r="E3" s="984">
        <v>2014</v>
      </c>
      <c r="F3" s="984">
        <v>2015</v>
      </c>
      <c r="G3" s="984">
        <v>2016</v>
      </c>
      <c r="H3" s="946" t="s">
        <v>1465</v>
      </c>
      <c r="I3" s="1618"/>
    </row>
    <row r="4" spans="1:13" s="839" customFormat="1" ht="36.75" customHeight="1" thickBot="1" x14ac:dyDescent="0.25">
      <c r="A4" s="835">
        <v>1</v>
      </c>
      <c r="B4" s="836">
        <v>2</v>
      </c>
      <c r="C4" s="837">
        <v>3</v>
      </c>
      <c r="D4" s="836">
        <v>4</v>
      </c>
      <c r="E4" s="835">
        <v>5</v>
      </c>
      <c r="F4" s="837">
        <v>6</v>
      </c>
      <c r="G4" s="837">
        <v>7</v>
      </c>
      <c r="H4" s="838">
        <v>8</v>
      </c>
      <c r="I4" s="859" t="s">
        <v>894</v>
      </c>
    </row>
    <row r="5" spans="1:13" s="847" customFormat="1" ht="30" customHeight="1" thickBot="1" x14ac:dyDescent="0.25">
      <c r="A5" s="840" t="s">
        <v>2</v>
      </c>
      <c r="B5" s="841" t="s">
        <v>895</v>
      </c>
      <c r="C5" s="860"/>
      <c r="D5" s="861">
        <f>SUM(D6:D6)</f>
        <v>0</v>
      </c>
      <c r="E5" s="862">
        <f>SUM(E6:E6)</f>
        <v>0</v>
      </c>
      <c r="F5" s="862">
        <f>SUM(F6:F6)</f>
        <v>0</v>
      </c>
      <c r="G5" s="863"/>
      <c r="H5" s="864">
        <f>SUM(H6:H6)</f>
        <v>0</v>
      </c>
      <c r="I5" s="865">
        <f t="shared" ref="I5:I10" si="0">SUM(D5:H5)</f>
        <v>0</v>
      </c>
    </row>
    <row r="6" spans="1:13" s="847" customFormat="1" ht="20.100000000000001" customHeight="1" thickBot="1" x14ac:dyDescent="0.25">
      <c r="A6" s="985" t="s">
        <v>3</v>
      </c>
      <c r="B6" s="986"/>
      <c r="C6" s="987"/>
      <c r="D6" s="988"/>
      <c r="E6" s="989"/>
      <c r="F6" s="989"/>
      <c r="G6" s="990"/>
      <c r="H6" s="991"/>
      <c r="I6" s="992">
        <f t="shared" si="0"/>
        <v>0</v>
      </c>
    </row>
    <row r="7" spans="1:13" s="847" customFormat="1" ht="36.75" customHeight="1" thickBot="1" x14ac:dyDescent="0.25">
      <c r="A7" s="840" t="s">
        <v>12</v>
      </c>
      <c r="B7" s="866" t="s">
        <v>896</v>
      </c>
      <c r="C7" s="993"/>
      <c r="D7" s="994">
        <f>SUM(D8:D12)</f>
        <v>428982</v>
      </c>
      <c r="E7" s="994">
        <f>SUM(E8:E12)</f>
        <v>12020</v>
      </c>
      <c r="F7" s="1429">
        <f>SUM(F8:F12)</f>
        <v>0</v>
      </c>
      <c r="G7" s="1429">
        <f>SUM(G8:G12)</f>
        <v>0</v>
      </c>
      <c r="H7" s="1429">
        <f>SUM(H8:H12)</f>
        <v>0</v>
      </c>
      <c r="I7" s="995">
        <f t="shared" si="0"/>
        <v>441002</v>
      </c>
    </row>
    <row r="8" spans="1:13" s="847" customFormat="1" ht="35.25" customHeight="1" thickBot="1" x14ac:dyDescent="0.25">
      <c r="A8" s="840" t="s">
        <v>68</v>
      </c>
      <c r="B8" s="996" t="s">
        <v>868</v>
      </c>
      <c r="C8" s="997">
        <v>2010</v>
      </c>
      <c r="D8" s="998">
        <v>30485</v>
      </c>
      <c r="E8" s="1002">
        <v>4150</v>
      </c>
      <c r="F8" s="1428">
        <v>0</v>
      </c>
      <c r="G8" s="1429">
        <v>0</v>
      </c>
      <c r="H8" s="1429">
        <v>0</v>
      </c>
      <c r="I8" s="999">
        <f>SUM(D8:H8)</f>
        <v>34635</v>
      </c>
      <c r="K8" s="847">
        <v>4035252</v>
      </c>
      <c r="M8" s="847" t="e">
        <f>SUM(K8-#REF!)</f>
        <v>#REF!</v>
      </c>
    </row>
    <row r="9" spans="1:13" s="847" customFormat="1" ht="37.5" customHeight="1" thickBot="1" x14ac:dyDescent="0.25">
      <c r="A9" s="840" t="s">
        <v>27</v>
      </c>
      <c r="B9" s="996" t="s">
        <v>869</v>
      </c>
      <c r="C9" s="1000">
        <v>2011</v>
      </c>
      <c r="D9" s="1001">
        <v>44385</v>
      </c>
      <c r="E9" s="1005">
        <v>2125</v>
      </c>
      <c r="F9" s="1002">
        <v>0</v>
      </c>
      <c r="G9" s="1429">
        <v>0</v>
      </c>
      <c r="H9" s="1429">
        <v>0</v>
      </c>
      <c r="I9" s="999">
        <f t="shared" si="0"/>
        <v>46510</v>
      </c>
    </row>
    <row r="10" spans="1:13" s="847" customFormat="1" ht="27" customHeight="1" thickBot="1" x14ac:dyDescent="0.25">
      <c r="A10" s="840" t="s">
        <v>32</v>
      </c>
      <c r="B10" s="867" t="s">
        <v>897</v>
      </c>
      <c r="C10" s="1003">
        <v>2007</v>
      </c>
      <c r="D10" s="1004">
        <v>40918</v>
      </c>
      <c r="E10" s="1006">
        <v>1900</v>
      </c>
      <c r="F10" s="1005">
        <v>0</v>
      </c>
      <c r="G10" s="1429">
        <v>0</v>
      </c>
      <c r="H10" s="1429">
        <v>0</v>
      </c>
      <c r="I10" s="999">
        <f t="shared" si="0"/>
        <v>42818</v>
      </c>
    </row>
    <row r="11" spans="1:13" s="847" customFormat="1" ht="27" customHeight="1" thickBot="1" x14ac:dyDescent="0.25">
      <c r="A11" s="840" t="s">
        <v>74</v>
      </c>
      <c r="B11" s="867" t="s">
        <v>898</v>
      </c>
      <c r="C11" s="1003">
        <v>2008</v>
      </c>
      <c r="D11" s="1004">
        <v>274972</v>
      </c>
      <c r="E11" s="1006">
        <v>1715</v>
      </c>
      <c r="F11" s="1006">
        <v>0</v>
      </c>
      <c r="G11" s="1429">
        <v>0</v>
      </c>
      <c r="H11" s="1429">
        <v>0</v>
      </c>
      <c r="I11" s="999">
        <f>SUM(D11:H11)</f>
        <v>276687</v>
      </c>
    </row>
    <row r="12" spans="1:13" s="847" customFormat="1" ht="31.5" customHeight="1" thickBot="1" x14ac:dyDescent="0.25">
      <c r="A12" s="840" t="s">
        <v>38</v>
      </c>
      <c r="B12" s="867" t="s">
        <v>1413</v>
      </c>
      <c r="C12" s="1003">
        <v>2008</v>
      </c>
      <c r="D12" s="1004">
        <v>38222</v>
      </c>
      <c r="E12" s="862">
        <v>2130</v>
      </c>
      <c r="F12" s="1006">
        <v>0</v>
      </c>
      <c r="G12" s="1429">
        <v>0</v>
      </c>
      <c r="H12" s="1429">
        <v>0</v>
      </c>
      <c r="I12" s="999">
        <f>SUM(D12:H12)</f>
        <v>40352</v>
      </c>
    </row>
    <row r="13" spans="1:13" s="847" customFormat="1" ht="20.100000000000001" customHeight="1" thickBot="1" x14ac:dyDescent="0.25">
      <c r="A13" s="840" t="s">
        <v>88</v>
      </c>
      <c r="B13" s="866" t="s">
        <v>899</v>
      </c>
      <c r="C13" s="860"/>
      <c r="D13" s="861">
        <f>SUM(D14:D14)</f>
        <v>0</v>
      </c>
      <c r="F13" s="862">
        <v>0</v>
      </c>
      <c r="G13" s="863"/>
      <c r="H13" s="864">
        <f>SUM(H14:H14)</f>
        <v>0</v>
      </c>
      <c r="I13" s="865">
        <f t="shared" ref="I13:I20" si="1">SUM(D13:H13)</f>
        <v>0</v>
      </c>
    </row>
    <row r="14" spans="1:13" s="847" customFormat="1" ht="20.100000000000001" customHeight="1" thickBot="1" x14ac:dyDescent="0.25">
      <c r="A14" s="840" t="s">
        <v>41</v>
      </c>
      <c r="B14" s="986"/>
      <c r="C14" s="987"/>
      <c r="D14" s="988"/>
      <c r="E14" s="989"/>
      <c r="F14" s="989"/>
      <c r="G14" s="990"/>
      <c r="H14" s="991"/>
      <c r="I14" s="992">
        <f t="shared" si="1"/>
        <v>0</v>
      </c>
    </row>
    <row r="15" spans="1:13" s="847" customFormat="1" ht="20.100000000000001" customHeight="1" thickBot="1" x14ac:dyDescent="0.25">
      <c r="A15" s="840" t="s">
        <v>42</v>
      </c>
      <c r="B15" s="866" t="s">
        <v>900</v>
      </c>
      <c r="C15" s="860"/>
      <c r="D15" s="861">
        <f>SUM(D16:D16)</f>
        <v>0</v>
      </c>
      <c r="E15" s="862">
        <f>SUM(E16:E16)</f>
        <v>0</v>
      </c>
      <c r="F15" s="862">
        <f>SUM(F16:F16)</f>
        <v>0</v>
      </c>
      <c r="G15" s="863"/>
      <c r="H15" s="864">
        <f>SUM(H16:H16)</f>
        <v>0</v>
      </c>
      <c r="I15" s="865">
        <f t="shared" si="1"/>
        <v>0</v>
      </c>
      <c r="J15" s="868"/>
    </row>
    <row r="16" spans="1:13" s="847" customFormat="1" ht="20.100000000000001" customHeight="1" thickBot="1" x14ac:dyDescent="0.25">
      <c r="A16" s="840" t="s">
        <v>45</v>
      </c>
      <c r="B16" s="1007"/>
      <c r="C16" s="1008"/>
      <c r="D16" s="1009"/>
      <c r="E16" s="1010"/>
      <c r="F16" s="1010"/>
      <c r="G16" s="1011"/>
      <c r="H16" s="1012"/>
      <c r="I16" s="1013">
        <f t="shared" si="1"/>
        <v>0</v>
      </c>
    </row>
    <row r="17" spans="1:11" s="847" customFormat="1" ht="20.100000000000001" customHeight="1" thickBot="1" x14ac:dyDescent="0.25">
      <c r="A17" s="840" t="s">
        <v>46</v>
      </c>
      <c r="B17" s="866" t="s">
        <v>99</v>
      </c>
      <c r="C17" s="860"/>
      <c r="D17" s="1014">
        <f>SUM(D18:D19)</f>
        <v>0</v>
      </c>
      <c r="E17" s="1014">
        <f>SUM(E18:E19)</f>
        <v>0</v>
      </c>
      <c r="F17" s="1014">
        <f>SUM(F18:F19)</f>
        <v>0</v>
      </c>
      <c r="G17" s="1014">
        <f>SUM(G18:G19)</f>
        <v>0</v>
      </c>
      <c r="H17" s="1014">
        <f>SUM(H18:H19)</f>
        <v>0</v>
      </c>
      <c r="I17" s="865">
        <f t="shared" si="1"/>
        <v>0</v>
      </c>
    </row>
    <row r="18" spans="1:11" s="847" customFormat="1" ht="20.100000000000001" customHeight="1" thickBot="1" x14ac:dyDescent="0.25">
      <c r="A18" s="840" t="s">
        <v>47</v>
      </c>
      <c r="B18" s="1015"/>
      <c r="C18" s="1016"/>
      <c r="D18" s="1017"/>
      <c r="E18" s="1018"/>
      <c r="F18" s="1018">
        <v>0</v>
      </c>
      <c r="G18" s="1019"/>
      <c r="H18" s="1020"/>
      <c r="I18" s="1021">
        <f t="shared" si="1"/>
        <v>0</v>
      </c>
    </row>
    <row r="19" spans="1:11" s="847" customFormat="1" ht="20.100000000000001" customHeight="1" thickBot="1" x14ac:dyDescent="0.25">
      <c r="A19" s="840" t="s">
        <v>91</v>
      </c>
      <c r="B19" s="1022"/>
      <c r="C19" s="1023"/>
      <c r="D19" s="1024"/>
      <c r="E19" s="1025"/>
      <c r="F19" s="1025"/>
      <c r="G19" s="1026"/>
      <c r="H19" s="1027">
        <v>0</v>
      </c>
      <c r="I19" s="1021">
        <f t="shared" si="1"/>
        <v>0</v>
      </c>
    </row>
    <row r="20" spans="1:11" s="847" customFormat="1" ht="20.100000000000001" customHeight="1" thickBot="1" x14ac:dyDescent="0.25">
      <c r="A20" s="1612" t="s">
        <v>901</v>
      </c>
      <c r="B20" s="1613"/>
      <c r="C20" s="1028"/>
      <c r="D20" s="861">
        <f>D5+D7+D13+D15+D17</f>
        <v>428982</v>
      </c>
      <c r="E20" s="862">
        <f>E5+E7+E15+E17</f>
        <v>12020</v>
      </c>
      <c r="F20" s="862">
        <f>SUM(F7+F17)</f>
        <v>0</v>
      </c>
      <c r="G20" s="862">
        <f>SUM(G7+G17)</f>
        <v>0</v>
      </c>
      <c r="H20" s="864">
        <f>H5+H7+H13+H15+H17</f>
        <v>0</v>
      </c>
      <c r="I20" s="865">
        <f t="shared" si="1"/>
        <v>441002</v>
      </c>
    </row>
    <row r="22" spans="1:11" ht="17.25" customHeight="1" x14ac:dyDescent="0.2"/>
    <row r="23" spans="1:11" s="870" customFormat="1" ht="51" customHeight="1" x14ac:dyDescent="0.25">
      <c r="A23" s="869" t="s">
        <v>2</v>
      </c>
      <c r="B23" s="1614" t="s">
        <v>902</v>
      </c>
      <c r="C23" s="1614"/>
      <c r="D23" s="1614"/>
      <c r="E23" s="1614"/>
      <c r="F23" s="1614"/>
      <c r="G23" s="1614"/>
      <c r="H23" s="1614"/>
      <c r="I23" s="1614"/>
      <c r="K23" s="871"/>
    </row>
    <row r="24" spans="1:11" s="870" customFormat="1" ht="44.25" customHeight="1" x14ac:dyDescent="0.25">
      <c r="A24" s="869" t="s">
        <v>3</v>
      </c>
      <c r="B24" s="1614" t="s">
        <v>1414</v>
      </c>
      <c r="C24" s="1614"/>
      <c r="D24" s="1614"/>
      <c r="E24" s="1614"/>
      <c r="F24" s="1614"/>
      <c r="G24" s="1614"/>
      <c r="H24" s="1614"/>
      <c r="I24" s="1614"/>
      <c r="K24" s="871"/>
    </row>
    <row r="25" spans="1:11" s="873" customFormat="1" ht="48" customHeight="1" x14ac:dyDescent="0.25">
      <c r="A25" s="869" t="s">
        <v>12</v>
      </c>
      <c r="B25" s="1614" t="s">
        <v>903</v>
      </c>
      <c r="C25" s="1614"/>
      <c r="D25" s="1614"/>
      <c r="E25" s="1614"/>
      <c r="F25" s="1614"/>
      <c r="G25" s="1614"/>
      <c r="H25" s="1614"/>
      <c r="I25" s="1614"/>
    </row>
    <row r="26" spans="1:11" s="873" customFormat="1" ht="43.5" customHeight="1" x14ac:dyDescent="0.25">
      <c r="A26" s="869" t="s">
        <v>68</v>
      </c>
      <c r="B26" s="1614" t="s">
        <v>904</v>
      </c>
      <c r="C26" s="1614"/>
      <c r="D26" s="1614"/>
      <c r="E26" s="1614"/>
      <c r="F26" s="1614"/>
      <c r="G26" s="1614"/>
      <c r="H26" s="1614"/>
      <c r="I26" s="1614"/>
    </row>
    <row r="27" spans="1:11" s="873" customFormat="1" ht="43.5" customHeight="1" x14ac:dyDescent="0.25">
      <c r="A27" s="869" t="s">
        <v>27</v>
      </c>
      <c r="B27" s="1614" t="s">
        <v>905</v>
      </c>
      <c r="C27" s="1614"/>
      <c r="D27" s="1614"/>
      <c r="E27" s="1614"/>
      <c r="F27" s="1614"/>
      <c r="G27" s="1614"/>
      <c r="H27" s="1614"/>
      <c r="I27" s="1614"/>
    </row>
    <row r="28" spans="1:11" s="873" customFormat="1" ht="53.25" customHeight="1" x14ac:dyDescent="0.25">
      <c r="A28" s="869" t="s">
        <v>32</v>
      </c>
      <c r="B28" s="1614" t="s">
        <v>1415</v>
      </c>
      <c r="C28" s="1614"/>
      <c r="D28" s="1614"/>
      <c r="E28" s="1614"/>
      <c r="F28" s="1614"/>
      <c r="G28" s="1614"/>
      <c r="H28" s="1614"/>
      <c r="I28" s="1614"/>
    </row>
    <row r="29" spans="1:11" s="873" customFormat="1" ht="46.5" customHeight="1" x14ac:dyDescent="0.2">
      <c r="A29" s="869" t="s">
        <v>74</v>
      </c>
      <c r="B29" s="1622"/>
      <c r="C29" s="1622"/>
      <c r="D29" s="1622"/>
      <c r="E29" s="1622"/>
      <c r="F29" s="1622"/>
      <c r="G29" s="1622"/>
      <c r="H29" s="1622"/>
      <c r="I29" s="1622"/>
    </row>
    <row r="30" spans="1:11" ht="28.5" customHeight="1" x14ac:dyDescent="0.2">
      <c r="A30" s="872"/>
      <c r="B30" s="1621"/>
      <c r="C30" s="1621"/>
      <c r="D30" s="1621"/>
      <c r="E30" s="1621"/>
      <c r="F30" s="1621"/>
      <c r="G30" s="1621"/>
      <c r="H30" s="1621"/>
      <c r="I30" s="1621"/>
    </row>
  </sheetData>
  <mergeCells count="15">
    <mergeCell ref="B24:I24"/>
    <mergeCell ref="B28:I28"/>
    <mergeCell ref="B30:I30"/>
    <mergeCell ref="B27:I27"/>
    <mergeCell ref="B26:I26"/>
    <mergeCell ref="B25:I25"/>
    <mergeCell ref="B29:I29"/>
    <mergeCell ref="A20:B20"/>
    <mergeCell ref="B23:I23"/>
    <mergeCell ref="A2:A3"/>
    <mergeCell ref="B2:B3"/>
    <mergeCell ref="C2:C3"/>
    <mergeCell ref="D2:D3"/>
    <mergeCell ref="E2:H2"/>
    <mergeCell ref="I2:I3"/>
  </mergeCells>
  <printOptions horizontalCentered="1"/>
  <pageMargins left="0.43307086614173229" right="0.23622047244094491" top="0.86614173228346458" bottom="0.70866141732283472" header="0.35433070866141736" footer="0.35433070866141736"/>
  <pageSetup paperSize="9" scale="95" firstPageNumber="148" orientation="landscape" useFirstPageNumber="1" r:id="rId1"/>
  <headerFooter alignWithMargins="0">
    <oddHeader>&amp;C&amp;"Times New Roman CE,Félkövér"&amp;12Vecsés Város Önkormányzat többéves kihatással járó döntésekből származó kötelezettségek
célok szerint, évenkénti bontásban&amp;R&amp;"Times New Roman CE,Félkövér dőlt" 10. számú melléklet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workbookViewId="0">
      <selection activeCell="B32" sqref="B31:B32"/>
    </sheetView>
  </sheetViews>
  <sheetFormatPr defaultRowHeight="12.75" x14ac:dyDescent="0.2"/>
  <cols>
    <col min="1" max="1" width="41.1640625" style="651" customWidth="1"/>
    <col min="2" max="2" width="16" style="651" customWidth="1"/>
    <col min="3" max="4" width="13.83203125" style="651" customWidth="1"/>
    <col min="5" max="5" width="14" style="651" customWidth="1"/>
    <col min="6" max="16384" width="9.33203125" style="651"/>
  </cols>
  <sheetData>
    <row r="1" spans="1:5" ht="14.25" customHeight="1" x14ac:dyDescent="0.2">
      <c r="A1" s="662"/>
      <c r="B1" s="663"/>
      <c r="C1" s="663"/>
      <c r="D1" s="663"/>
      <c r="E1" s="663"/>
    </row>
    <row r="2" spans="1:5" ht="29.25" customHeight="1" x14ac:dyDescent="0.25">
      <c r="A2" s="652" t="s">
        <v>1827</v>
      </c>
      <c r="B2" s="1623" t="s">
        <v>1828</v>
      </c>
      <c r="C2" s="1623"/>
      <c r="D2" s="1623"/>
      <c r="E2" s="1623"/>
    </row>
    <row r="3" spans="1:5" ht="13.5" customHeight="1" thickBot="1" x14ac:dyDescent="0.25">
      <c r="D3" s="1624" t="s">
        <v>906</v>
      </c>
      <c r="E3" s="1624"/>
    </row>
    <row r="4" spans="1:5" ht="16.5" thickBot="1" x14ac:dyDescent="0.25">
      <c r="A4" s="653" t="s">
        <v>907</v>
      </c>
      <c r="B4" s="654" t="s">
        <v>866</v>
      </c>
      <c r="C4" s="654" t="s">
        <v>867</v>
      </c>
      <c r="D4" s="654" t="s">
        <v>1040</v>
      </c>
      <c r="E4" s="655" t="s">
        <v>893</v>
      </c>
    </row>
    <row r="5" spans="1:5" ht="16.5" thickBot="1" x14ac:dyDescent="0.25">
      <c r="A5" s="656" t="s">
        <v>908</v>
      </c>
      <c r="B5" s="657"/>
      <c r="C5" s="657"/>
      <c r="D5" s="657"/>
      <c r="E5" s="657"/>
    </row>
    <row r="6" spans="1:5" ht="16.5" thickBot="1" x14ac:dyDescent="0.25">
      <c r="A6" s="905" t="s">
        <v>909</v>
      </c>
      <c r="B6" s="657"/>
      <c r="C6" s="657"/>
      <c r="D6" s="657"/>
      <c r="E6" s="657"/>
    </row>
    <row r="7" spans="1:5" ht="16.5" thickBot="1" x14ac:dyDescent="0.25">
      <c r="A7" s="906" t="s">
        <v>910</v>
      </c>
      <c r="B7" s="657"/>
      <c r="C7" s="657">
        <v>40000</v>
      </c>
      <c r="D7" s="657"/>
      <c r="E7" s="657">
        <f t="shared" ref="E7" si="0">SUM(B7:D7)</f>
        <v>40000</v>
      </c>
    </row>
    <row r="8" spans="1:5" ht="16.5" thickBot="1" x14ac:dyDescent="0.25">
      <c r="A8" s="906" t="s">
        <v>911</v>
      </c>
      <c r="B8" s="657"/>
      <c r="C8" s="657"/>
      <c r="D8" s="657"/>
      <c r="E8" s="657"/>
    </row>
    <row r="9" spans="1:5" ht="16.5" thickBot="1" x14ac:dyDescent="0.25">
      <c r="A9" s="906" t="s">
        <v>912</v>
      </c>
      <c r="B9" s="657"/>
      <c r="C9" s="657"/>
      <c r="D9" s="657"/>
      <c r="E9" s="657"/>
    </row>
    <row r="10" spans="1:5" ht="16.5" thickBot="1" x14ac:dyDescent="0.25">
      <c r="A10" s="906" t="s">
        <v>913</v>
      </c>
      <c r="B10" s="657"/>
      <c r="C10" s="657"/>
      <c r="D10" s="657"/>
      <c r="E10" s="657"/>
    </row>
    <row r="11" spans="1:5" ht="16.5" thickBot="1" x14ac:dyDescent="0.25">
      <c r="A11" s="907"/>
      <c r="B11" s="657"/>
      <c r="C11" s="657"/>
      <c r="D11" s="657"/>
      <c r="E11" s="657"/>
    </row>
    <row r="12" spans="1:5" ht="19.5" thickBot="1" x14ac:dyDescent="0.25">
      <c r="A12" s="658" t="s">
        <v>914</v>
      </c>
      <c r="B12" s="659"/>
      <c r="C12" s="659">
        <f>C5+SUM(C7:C11)</f>
        <v>40000</v>
      </c>
      <c r="D12" s="659"/>
      <c r="E12" s="660">
        <f>E5+SUM(E7:E11)</f>
        <v>40000</v>
      </c>
    </row>
    <row r="13" spans="1:5" ht="13.5" thickBot="1" x14ac:dyDescent="0.25">
      <c r="A13" s="661"/>
      <c r="B13" s="661"/>
      <c r="C13" s="661"/>
      <c r="D13" s="661"/>
      <c r="E13" s="661"/>
    </row>
    <row r="14" spans="1:5" ht="16.5" thickBot="1" x14ac:dyDescent="0.25">
      <c r="A14" s="653" t="s">
        <v>915</v>
      </c>
      <c r="B14" s="654" t="s">
        <v>866</v>
      </c>
      <c r="C14" s="654" t="s">
        <v>867</v>
      </c>
      <c r="D14" s="654" t="s">
        <v>1040</v>
      </c>
      <c r="E14" s="655" t="s">
        <v>893</v>
      </c>
    </row>
    <row r="15" spans="1:5" ht="16.5" thickBot="1" x14ac:dyDescent="0.25">
      <c r="A15" s="656" t="s">
        <v>916</v>
      </c>
      <c r="B15" s="657"/>
      <c r="C15" s="657">
        <v>9285</v>
      </c>
      <c r="D15" s="657"/>
      <c r="E15" s="657">
        <f t="shared" ref="E15:E21" si="1">SUM(B15:D15)</f>
        <v>9285</v>
      </c>
    </row>
    <row r="16" spans="1:5" ht="16.5" thickBot="1" x14ac:dyDescent="0.25">
      <c r="A16" s="656" t="s">
        <v>917</v>
      </c>
      <c r="B16" s="657"/>
      <c r="C16" s="657">
        <v>3665</v>
      </c>
      <c r="D16" s="657"/>
      <c r="E16" s="657">
        <f t="shared" si="1"/>
        <v>3665</v>
      </c>
    </row>
    <row r="17" spans="1:5" ht="16.5" thickBot="1" x14ac:dyDescent="0.25">
      <c r="A17" s="656" t="s">
        <v>918</v>
      </c>
      <c r="B17" s="657"/>
      <c r="C17" s="657">
        <v>27060</v>
      </c>
      <c r="D17" s="657"/>
      <c r="E17" s="657">
        <f t="shared" si="1"/>
        <v>27060</v>
      </c>
    </row>
    <row r="18" spans="1:5" ht="16.5" thickBot="1" x14ac:dyDescent="0.25">
      <c r="A18" s="656" t="s">
        <v>919</v>
      </c>
      <c r="B18" s="657"/>
      <c r="C18" s="657"/>
      <c r="D18" s="657"/>
      <c r="E18" s="657">
        <f t="shared" si="1"/>
        <v>0</v>
      </c>
    </row>
    <row r="19" spans="1:5" ht="16.5" thickBot="1" x14ac:dyDescent="0.25">
      <c r="A19" s="656"/>
      <c r="B19" s="657"/>
      <c r="C19" s="657"/>
      <c r="D19" s="657"/>
      <c r="E19" s="657">
        <f t="shared" si="1"/>
        <v>0</v>
      </c>
    </row>
    <row r="20" spans="1:5" ht="16.5" hidden="1" thickBot="1" x14ac:dyDescent="0.25">
      <c r="A20" s="908"/>
      <c r="B20" s="657"/>
      <c r="C20" s="657"/>
      <c r="D20" s="657"/>
      <c r="E20" s="657">
        <f t="shared" si="1"/>
        <v>0</v>
      </c>
    </row>
    <row r="21" spans="1:5" ht="16.5" hidden="1" thickBot="1" x14ac:dyDescent="0.25">
      <c r="A21" s="907"/>
      <c r="B21" s="657"/>
      <c r="C21" s="657"/>
      <c r="D21" s="657"/>
      <c r="E21" s="657">
        <f t="shared" si="1"/>
        <v>0</v>
      </c>
    </row>
    <row r="22" spans="1:5" ht="19.5" thickBot="1" x14ac:dyDescent="0.25">
      <c r="A22" s="658" t="s">
        <v>920</v>
      </c>
      <c r="B22" s="659"/>
      <c r="C22" s="659">
        <f>SUM(C15:C21)</f>
        <v>40010</v>
      </c>
      <c r="D22" s="659"/>
      <c r="E22" s="660">
        <f>SUM(E15:E21)</f>
        <v>40010</v>
      </c>
    </row>
    <row r="25" spans="1:5" ht="15.75" x14ac:dyDescent="0.2">
      <c r="A25" s="664" t="s">
        <v>1206</v>
      </c>
    </row>
    <row r="26" spans="1:5" ht="15.75" x14ac:dyDescent="0.2">
      <c r="A26" s="664"/>
    </row>
    <row r="27" spans="1:5" ht="13.5" customHeight="1" thickBot="1" x14ac:dyDescent="0.25">
      <c r="D27" s="1624" t="s">
        <v>906</v>
      </c>
      <c r="E27" s="1624"/>
    </row>
    <row r="28" spans="1:5" ht="16.5" customHeight="1" thickBot="1" x14ac:dyDescent="0.25">
      <c r="A28" s="665" t="s">
        <v>1829</v>
      </c>
      <c r="B28" s="666"/>
      <c r="C28" s="667"/>
      <c r="D28" s="1625">
        <v>3800</v>
      </c>
      <c r="E28" s="1625"/>
    </row>
    <row r="29" spans="1:5" ht="19.5" customHeight="1" thickBot="1" x14ac:dyDescent="0.25">
      <c r="A29" s="668" t="s">
        <v>920</v>
      </c>
      <c r="B29" s="669"/>
      <c r="C29" s="669"/>
      <c r="D29" s="1626">
        <f>SUM(D28:E28)</f>
        <v>3800</v>
      </c>
      <c r="E29" s="1626"/>
    </row>
  </sheetData>
  <sheetProtection selectLockedCells="1" selectUnlockedCells="1"/>
  <mergeCells count="5">
    <mergeCell ref="B2:E2"/>
    <mergeCell ref="D3:E3"/>
    <mergeCell ref="D27:E27"/>
    <mergeCell ref="D28:E28"/>
    <mergeCell ref="D29:E29"/>
  </mergeCells>
  <conditionalFormatting sqref="D4:E13 B1:E1 B3:C13 B15:E22 E14">
    <cfRule type="cellIs" dxfId="1" priority="2" stopIfTrue="1" operator="equal">
      <formula>0</formula>
    </cfRule>
  </conditionalFormatting>
  <conditionalFormatting sqref="B14:D14">
    <cfRule type="cellIs" dxfId="0" priority="1" stopIfTrue="1" operator="equal">
      <formula>0</formula>
    </cfRule>
  </conditionalFormatting>
  <printOptions horizontalCentered="1"/>
  <pageMargins left="0.78740157480314965" right="0.78740157480314965" top="1.0236220472440944" bottom="0.59055118110236227" header="0.39370078740157483" footer="0.23622047244094491"/>
  <pageSetup paperSize="9" scale="95" firstPageNumber="150" orientation="portrait" useFirstPageNumber="1" r:id="rId1"/>
  <headerFooter alignWithMargins="0">
    <oddHeader>&amp;C&amp;"Times New Roman CE,Félkövér"&amp;16Európai uniós támogatással megvalósuló 
projektek bevételei, kiadásai, hozzájárulások&amp;R&amp;12 11. sz. melléklet</oddHeader>
    <oddFooter>&amp;C&amp;"Calibri,Általános"&amp;11-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3"/>
  <sheetViews>
    <sheetView view="pageBreakPreview" topLeftCell="A38" zoomScaleNormal="130" zoomScaleSheetLayoutView="100" workbookViewId="0">
      <selection activeCell="F40" sqref="F40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1" width="13.6640625" style="76" customWidth="1"/>
    <col min="12" max="16384" width="9.33203125" style="76"/>
  </cols>
  <sheetData>
    <row r="1" spans="1:11" s="79" customFormat="1" ht="33.75" customHeight="1" thickBot="1" x14ac:dyDescent="0.25">
      <c r="A1" s="1521" t="s">
        <v>120</v>
      </c>
      <c r="B1" s="1522"/>
      <c r="C1" s="78" t="s">
        <v>138</v>
      </c>
      <c r="D1" s="1523" t="s">
        <v>1024</v>
      </c>
      <c r="E1" s="343"/>
      <c r="F1" s="1523" t="s">
        <v>1420</v>
      </c>
      <c r="G1" s="78"/>
    </row>
    <row r="2" spans="1:11" s="79" customFormat="1" ht="33.75" customHeight="1" thickBot="1" x14ac:dyDescent="0.25">
      <c r="A2" s="1525" t="s">
        <v>122</v>
      </c>
      <c r="B2" s="1526"/>
      <c r="C2" s="78" t="s">
        <v>123</v>
      </c>
      <c r="D2" s="1524"/>
      <c r="E2" s="327"/>
      <c r="F2" s="1524"/>
      <c r="G2" s="137"/>
    </row>
    <row r="3" spans="1:11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1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1" s="89" customFormat="1" ht="15" customHeight="1" x14ac:dyDescent="0.2">
      <c r="A5" s="84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1" s="89" customFormat="1" ht="21" customHeight="1" x14ac:dyDescent="0.2">
      <c r="A6" s="90"/>
      <c r="B6" s="91"/>
      <c r="C6" s="92" t="s">
        <v>81</v>
      </c>
      <c r="D6" s="139"/>
      <c r="E6" s="139"/>
      <c r="F6" s="139"/>
      <c r="G6" s="139"/>
    </row>
    <row r="7" spans="1:11" s="89" customFormat="1" ht="31.5" customHeight="1" x14ac:dyDescent="0.2">
      <c r="A7" s="93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2265099</v>
      </c>
      <c r="G7" s="141">
        <f>F7/E7*100</f>
        <v>123.09250282584124</v>
      </c>
      <c r="I7" s="1135">
        <f>SUM(F7-K7)</f>
        <v>0</v>
      </c>
      <c r="J7" s="1135"/>
      <c r="K7" s="1135">
        <f>SUM('3. a. sz. mell'!F7+'3.b. sz. mell'!F7+'3.c. sz. mell '!F7)</f>
        <v>2265099</v>
      </c>
    </row>
    <row r="8" spans="1:11" s="96" customFormat="1" ht="19.5" customHeight="1" thickBot="1" x14ac:dyDescent="0.25">
      <c r="A8" s="93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f>SUM('3.1.asz.melléklet'!G29)</f>
        <v>1610000</v>
      </c>
      <c r="G8" s="141">
        <f t="shared" ref="G8:G41" si="2">F8/E8*100</f>
        <v>95.529912136214975</v>
      </c>
      <c r="I8" s="1135">
        <f t="shared" ref="I8:I71" si="3">SUM(F8-K8)</f>
        <v>0</v>
      </c>
      <c r="J8" s="1135"/>
      <c r="K8" s="1135">
        <f>SUM('3. a. sz. mell'!F8+'3.b. sz. mell'!F8+'3.c. sz. mell '!F8)</f>
        <v>1610000</v>
      </c>
    </row>
    <row r="9" spans="1:11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2"/>
      <c r="G9" s="142">
        <f t="shared" si="2"/>
        <v>0</v>
      </c>
      <c r="I9" s="1135">
        <f t="shared" si="3"/>
        <v>0</v>
      </c>
      <c r="J9" s="1135"/>
      <c r="K9" s="1135">
        <f>SUM('3. a. sz. mell'!F9+'3.b. sz. mell'!F9+'3.c. sz. mell '!F9)</f>
        <v>0</v>
      </c>
    </row>
    <row r="10" spans="1:11" s="99" customFormat="1" ht="15" hidden="1" customHeight="1" x14ac:dyDescent="0.2">
      <c r="A10" s="97"/>
      <c r="B10" s="98"/>
      <c r="C10" s="375"/>
      <c r="D10" s="142"/>
      <c r="E10" s="142"/>
      <c r="F10" s="142"/>
      <c r="G10" s="142"/>
      <c r="I10" s="1135">
        <f t="shared" si="3"/>
        <v>0</v>
      </c>
      <c r="J10" s="1135"/>
      <c r="K10" s="1135">
        <f>SUM('3. a. sz. mell'!F10+'3.b. sz. mell'!F10+'3.c. sz. mell '!F10)</f>
        <v>0</v>
      </c>
    </row>
    <row r="11" spans="1:11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2">
        <f>SUM('3.1.asz.melléklet'!G46)</f>
        <v>0</v>
      </c>
      <c r="G11" s="142">
        <f t="shared" si="2"/>
        <v>0</v>
      </c>
      <c r="I11" s="1135">
        <f t="shared" si="3"/>
        <v>0</v>
      </c>
      <c r="J11" s="1135"/>
      <c r="K11" s="1135">
        <f>SUM('3. a. sz. mell'!F11+'3.b. sz. mell'!F11+'3.c. sz. mell '!F11)</f>
        <v>0</v>
      </c>
    </row>
    <row r="12" spans="1:11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2">
        <f>SUM('3.1.asz.melléklet'!G44+'3.1.asz.melléklet'!G51)</f>
        <v>0</v>
      </c>
      <c r="G12" s="142">
        <f t="shared" si="2"/>
        <v>0</v>
      </c>
      <c r="I12" s="1135">
        <f t="shared" si="3"/>
        <v>0</v>
      </c>
      <c r="J12" s="1135"/>
      <c r="K12" s="1135">
        <f>SUM('3. a. sz. mell'!F12+'3.b. sz. mell'!F12+'3.c. sz. mell '!F12)</f>
        <v>0</v>
      </c>
    </row>
    <row r="13" spans="1:11" s="99" customFormat="1" ht="15" hidden="1" customHeight="1" x14ac:dyDescent="0.2">
      <c r="A13" s="97"/>
      <c r="B13" s="98"/>
      <c r="C13" s="375"/>
      <c r="D13" s="142"/>
      <c r="E13" s="142"/>
      <c r="F13" s="142"/>
      <c r="G13" s="142"/>
      <c r="I13" s="1135">
        <f t="shared" si="3"/>
        <v>0</v>
      </c>
      <c r="J13" s="1135"/>
      <c r="K13" s="1135">
        <f>SUM('3. a. sz. mell'!F13+'3.b. sz. mell'!F13+'3.c. sz. mell '!F13)</f>
        <v>0</v>
      </c>
    </row>
    <row r="14" spans="1:11" s="99" customFormat="1" ht="15" hidden="1" customHeight="1" x14ac:dyDescent="0.2">
      <c r="A14" s="97"/>
      <c r="B14" s="98"/>
      <c r="C14" s="375"/>
      <c r="D14" s="142"/>
      <c r="E14" s="142"/>
      <c r="F14" s="142"/>
      <c r="G14" s="142"/>
      <c r="I14" s="1135">
        <f t="shared" si="3"/>
        <v>0</v>
      </c>
      <c r="J14" s="1135"/>
      <c r="K14" s="1135">
        <f>SUM('3. a. sz. mell'!F14+'3.b. sz. mell'!F14+'3.c. sz. mell '!F14)</f>
        <v>0</v>
      </c>
    </row>
    <row r="15" spans="1:11" s="99" customFormat="1" ht="15" hidden="1" customHeight="1" x14ac:dyDescent="0.2">
      <c r="A15" s="100"/>
      <c r="B15" s="98"/>
      <c r="C15" s="1292"/>
      <c r="D15" s="143"/>
      <c r="E15" s="143"/>
      <c r="F15" s="143"/>
      <c r="G15" s="142"/>
      <c r="I15" s="1135">
        <f t="shared" si="3"/>
        <v>0</v>
      </c>
      <c r="J15" s="1135"/>
      <c r="K15" s="1135">
        <f>SUM('3. a. sz. mell'!F15+'3.b. sz. mell'!F15+'3.c. sz. mell '!F15)</f>
        <v>0</v>
      </c>
    </row>
    <row r="16" spans="1:11" s="96" customFormat="1" ht="18.75" customHeight="1" thickBot="1" x14ac:dyDescent="0.25">
      <c r="A16" s="93" t="s">
        <v>12</v>
      </c>
      <c r="B16" s="94"/>
      <c r="C16" s="368" t="s">
        <v>1615</v>
      </c>
      <c r="D16" s="141">
        <f>SUM(D17:D24)</f>
        <v>77679</v>
      </c>
      <c r="E16" s="141">
        <f t="shared" ref="E16" si="4">SUM(E17:E24)</f>
        <v>154824</v>
      </c>
      <c r="F16" s="141">
        <f>SUM('3.1.asz.melléklet'!G4)</f>
        <v>81925</v>
      </c>
      <c r="G16" s="141">
        <f t="shared" si="2"/>
        <v>52.914922750994677</v>
      </c>
      <c r="I16" s="1135">
        <f t="shared" si="3"/>
        <v>0</v>
      </c>
      <c r="J16" s="1135"/>
      <c r="K16" s="1135">
        <f>SUM('3. a. sz. mell'!F16+'3.b. sz. mell'!F16+'3.c. sz. mell '!F16)</f>
        <v>81925</v>
      </c>
    </row>
    <row r="17" spans="1:11" s="96" customFormat="1" ht="15" hidden="1" customHeight="1" x14ac:dyDescent="0.2">
      <c r="A17" s="102"/>
      <c r="B17" s="98"/>
      <c r="C17" s="375"/>
      <c r="D17" s="144"/>
      <c r="E17" s="144"/>
      <c r="F17" s="144"/>
      <c r="G17" s="144"/>
      <c r="I17" s="1135">
        <f t="shared" si="3"/>
        <v>0</v>
      </c>
      <c r="J17" s="1135"/>
      <c r="K17" s="1135">
        <f>SUM('3. a. sz. mell'!F17+'3.b. sz. mell'!F17+'3.c. sz. mell '!F17)</f>
        <v>0</v>
      </c>
    </row>
    <row r="18" spans="1:11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2">
        <f>SUM('3.1.asz.melléklet'!G7+'3.1.asz.melléklet'!G28)</f>
        <v>0</v>
      </c>
      <c r="G18" s="142">
        <f t="shared" si="2"/>
        <v>0</v>
      </c>
      <c r="I18" s="1135">
        <f t="shared" si="3"/>
        <v>0</v>
      </c>
      <c r="J18" s="1135"/>
      <c r="K18" s="1135">
        <f>SUM('3. a. sz. mell'!F18+'3.b. sz. mell'!F18+'3.c. sz. mell '!F18)</f>
        <v>0</v>
      </c>
    </row>
    <row r="19" spans="1:11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2"/>
      <c r="G19" s="142">
        <f t="shared" si="2"/>
        <v>0</v>
      </c>
      <c r="I19" s="1135">
        <f t="shared" si="3"/>
        <v>0</v>
      </c>
      <c r="J19" s="1135"/>
      <c r="K19" s="1135">
        <f>SUM('3. a. sz. mell'!F19+'3.b. sz. mell'!F19+'3.c. sz. mell '!F19)</f>
        <v>0</v>
      </c>
    </row>
    <row r="20" spans="1:11" s="96" customFormat="1" ht="15" hidden="1" customHeight="1" x14ac:dyDescent="0.2">
      <c r="A20" s="97"/>
      <c r="B20" s="98"/>
      <c r="C20" s="375"/>
      <c r="D20" s="142"/>
      <c r="E20" s="142"/>
      <c r="F20" s="142"/>
      <c r="G20" s="142"/>
      <c r="I20" s="1135">
        <f t="shared" si="3"/>
        <v>0</v>
      </c>
      <c r="J20" s="1135"/>
      <c r="K20" s="1135">
        <f>SUM('3. a. sz. mell'!F20+'3.b. sz. mell'!F20+'3.c. sz. mell '!F20)</f>
        <v>0</v>
      </c>
    </row>
    <row r="21" spans="1:11" s="96" customFormat="1" ht="15" hidden="1" customHeight="1" x14ac:dyDescent="0.2">
      <c r="A21" s="97"/>
      <c r="B21" s="98"/>
      <c r="C21" s="375"/>
      <c r="D21" s="142"/>
      <c r="E21" s="142"/>
      <c r="F21" s="142"/>
      <c r="G21" s="142"/>
      <c r="I21" s="1135">
        <f t="shared" si="3"/>
        <v>0</v>
      </c>
      <c r="J21" s="1135"/>
      <c r="K21" s="1135">
        <f>SUM('3. a. sz. mell'!F21+'3.b. sz. mell'!F21+'3.c. sz. mell '!F21)</f>
        <v>0</v>
      </c>
    </row>
    <row r="22" spans="1:11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3"/>
      <c r="G22" s="143">
        <f t="shared" si="2"/>
        <v>0</v>
      </c>
      <c r="I22" s="1135">
        <f t="shared" si="3"/>
        <v>0</v>
      </c>
      <c r="J22" s="1135"/>
      <c r="K22" s="1135">
        <f>SUM('3. a. sz. mell'!F22+'3.b. sz. mell'!F22+'3.c. sz. mell '!F22)</f>
        <v>0</v>
      </c>
    </row>
    <row r="23" spans="1:11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2"/>
      <c r="G23" s="142">
        <f t="shared" si="2"/>
        <v>0</v>
      </c>
      <c r="I23" s="1135">
        <f t="shared" si="3"/>
        <v>0</v>
      </c>
      <c r="J23" s="1135"/>
      <c r="K23" s="1135">
        <f>SUM('3. a. sz. mell'!F23+'3.b. sz. mell'!F23+'3.c. sz. mell '!F23)</f>
        <v>0</v>
      </c>
    </row>
    <row r="24" spans="1:11" s="99" customFormat="1" ht="15" hidden="1" customHeight="1" thickBot="1" x14ac:dyDescent="0.25">
      <c r="A24" s="104"/>
      <c r="B24" s="105"/>
      <c r="C24" s="375"/>
      <c r="D24" s="145"/>
      <c r="E24" s="145"/>
      <c r="F24" s="145"/>
      <c r="G24" s="145"/>
      <c r="I24" s="1135">
        <f t="shared" si="3"/>
        <v>0</v>
      </c>
      <c r="J24" s="1135"/>
      <c r="K24" s="1135">
        <f>SUM('3. a. sz. mell'!F24+'3.b. sz. mell'!F24+'3.c. sz. mell '!F24)</f>
        <v>0</v>
      </c>
    </row>
    <row r="25" spans="1:11" s="99" customFormat="1" ht="15" hidden="1" customHeight="1" x14ac:dyDescent="0.2">
      <c r="A25" s="93"/>
      <c r="B25" s="106"/>
      <c r="C25" s="368"/>
      <c r="D25" s="119"/>
      <c r="E25" s="119"/>
      <c r="F25" s="119"/>
      <c r="G25" s="141" t="e">
        <f t="shared" si="2"/>
        <v>#DIV/0!</v>
      </c>
      <c r="I25" s="1135">
        <f t="shared" si="3"/>
        <v>0</v>
      </c>
      <c r="J25" s="1135"/>
      <c r="K25" s="1135">
        <f>SUM('3. a. sz. mell'!F25+'3.b. sz. mell'!F25+'3.c. sz. mell '!F25)</f>
        <v>0</v>
      </c>
    </row>
    <row r="26" spans="1:11" s="96" customFormat="1" ht="21" customHeight="1" thickBot="1" x14ac:dyDescent="0.25">
      <c r="A26" s="911" t="s">
        <v>68</v>
      </c>
      <c r="B26" s="94"/>
      <c r="C26" s="368" t="s">
        <v>1614</v>
      </c>
      <c r="D26" s="141">
        <f>SUM(D27:D32)</f>
        <v>0</v>
      </c>
      <c r="E26" s="141">
        <f>SUM(E27:E32)</f>
        <v>0</v>
      </c>
      <c r="F26" s="141">
        <f>SUM('3.1.asz.melléklet'!G56)</f>
        <v>573174</v>
      </c>
      <c r="G26" s="141" t="e">
        <f t="shared" si="2"/>
        <v>#DIV/0!</v>
      </c>
      <c r="I26" s="1135">
        <f t="shared" si="3"/>
        <v>0</v>
      </c>
      <c r="J26" s="1135"/>
      <c r="K26" s="1135">
        <f>SUM('3. a. sz. mell'!F26+'3.b. sz. mell'!F26+'3.c. sz. mell '!F26)</f>
        <v>573174</v>
      </c>
    </row>
    <row r="27" spans="1:11" s="99" customFormat="1" ht="30.75" customHeight="1" thickBot="1" x14ac:dyDescent="0.25">
      <c r="A27" s="1233" t="s">
        <v>27</v>
      </c>
      <c r="B27" s="98"/>
      <c r="C27" s="1291" t="s">
        <v>1617</v>
      </c>
      <c r="D27" s="142"/>
      <c r="E27" s="142"/>
      <c r="F27" s="1293">
        <f>SUM(F28:F30)</f>
        <v>251000</v>
      </c>
      <c r="G27" s="142" t="e">
        <f t="shared" si="2"/>
        <v>#DIV/0!</v>
      </c>
      <c r="I27" s="1135">
        <f t="shared" si="3"/>
        <v>0</v>
      </c>
      <c r="J27" s="1135"/>
      <c r="K27" s="1135">
        <f>SUM('3. a. sz. mell'!F27+'3.b. sz. mell'!F27+'3.c. sz. mell '!F27)</f>
        <v>251000</v>
      </c>
    </row>
    <row r="28" spans="1:11" s="99" customFormat="1" ht="18.75" customHeight="1" thickBot="1" x14ac:dyDescent="0.25">
      <c r="A28" s="1233" t="s">
        <v>32</v>
      </c>
      <c r="B28" s="98"/>
      <c r="C28" s="368" t="s">
        <v>1587</v>
      </c>
      <c r="D28" s="142"/>
      <c r="E28" s="142"/>
      <c r="F28" s="141">
        <f>SUM('3.1.asz.melléklet'!G110)</f>
        <v>250000</v>
      </c>
      <c r="G28" s="142" t="e">
        <f t="shared" si="2"/>
        <v>#DIV/0!</v>
      </c>
      <c r="I28" s="1135">
        <f t="shared" si="3"/>
        <v>0</v>
      </c>
      <c r="J28" s="1135"/>
      <c r="K28" s="1135">
        <f>SUM('3. a. sz. mell'!F28+'3.b. sz. mell'!F28+'3.c. sz. mell '!F28)</f>
        <v>250000</v>
      </c>
    </row>
    <row r="29" spans="1:11" s="99" customFormat="1" ht="18.75" customHeight="1" thickBot="1" x14ac:dyDescent="0.25">
      <c r="A29" s="1233" t="s">
        <v>74</v>
      </c>
      <c r="B29" s="98"/>
      <c r="C29" s="368" t="s">
        <v>1618</v>
      </c>
      <c r="D29" s="142"/>
      <c r="E29" s="142"/>
      <c r="F29" s="141">
        <f>SUM('3.1.asz.melléklet'!G132)</f>
        <v>0</v>
      </c>
      <c r="G29" s="142" t="e">
        <f t="shared" si="2"/>
        <v>#DIV/0!</v>
      </c>
      <c r="I29" s="1135">
        <f t="shared" si="3"/>
        <v>0</v>
      </c>
      <c r="J29" s="1135"/>
      <c r="K29" s="1135">
        <f>SUM('3. a. sz. mell'!F29+'3.b. sz. mell'!F29+'3.c. sz. mell '!F29)</f>
        <v>0</v>
      </c>
    </row>
    <row r="30" spans="1:11" s="99" customFormat="1" ht="18.75" customHeight="1" thickBot="1" x14ac:dyDescent="0.25">
      <c r="A30" s="1233" t="s">
        <v>38</v>
      </c>
      <c r="B30" s="98"/>
      <c r="C30" s="368" t="s">
        <v>1171</v>
      </c>
      <c r="D30" s="142"/>
      <c r="E30" s="142"/>
      <c r="F30" s="141">
        <f>SUM('3.1.asz.melléklet'!G135)</f>
        <v>1000</v>
      </c>
      <c r="G30" s="142"/>
      <c r="I30" s="1135">
        <f t="shared" si="3"/>
        <v>0</v>
      </c>
      <c r="J30" s="1135"/>
      <c r="K30" s="1135">
        <f>SUM('3. a. sz. mell'!F30+'3.b. sz. mell'!F30+'3.c. sz. mell '!F30)</f>
        <v>1000</v>
      </c>
    </row>
    <row r="31" spans="1:11" s="99" customFormat="1" ht="21.75" customHeight="1" thickBot="1" x14ac:dyDescent="0.25">
      <c r="A31" s="97"/>
      <c r="B31" s="98"/>
      <c r="C31" s="1291" t="s">
        <v>1619</v>
      </c>
      <c r="D31" s="142"/>
      <c r="E31" s="142"/>
      <c r="F31" s="142">
        <f>SUM(F32)</f>
        <v>0</v>
      </c>
      <c r="G31" s="142"/>
      <c r="I31" s="1135">
        <f t="shared" si="3"/>
        <v>0</v>
      </c>
      <c r="J31" s="1135"/>
      <c r="K31" s="1135">
        <f>SUM('3. a. sz. mell'!F31+'3.b. sz. mell'!F31+'3.c. sz. mell '!F31)</f>
        <v>0</v>
      </c>
    </row>
    <row r="32" spans="1:11" s="99" customFormat="1" ht="16.5" customHeight="1" thickBot="1" x14ac:dyDescent="0.25">
      <c r="A32" s="97"/>
      <c r="B32" s="98"/>
      <c r="C32" s="368" t="s">
        <v>1595</v>
      </c>
      <c r="D32" s="142"/>
      <c r="E32" s="142"/>
      <c r="F32" s="142">
        <f>SUM('3.1.asz.melléklet'!G151)</f>
        <v>0</v>
      </c>
      <c r="G32" s="142"/>
      <c r="I32" s="1135">
        <f t="shared" si="3"/>
        <v>0</v>
      </c>
      <c r="J32" s="1135"/>
      <c r="K32" s="1135">
        <f>SUM('3. a. sz. mell'!F32+'3.b. sz. mell'!F32+'3.c. sz. mell '!F32)</f>
        <v>0</v>
      </c>
    </row>
    <row r="33" spans="1:11" s="99" customFormat="1" ht="21" customHeight="1" thickBot="1" x14ac:dyDescent="0.25">
      <c r="A33" s="150" t="s">
        <v>45</v>
      </c>
      <c r="B33" s="151"/>
      <c r="C33" s="9" t="s">
        <v>1213</v>
      </c>
      <c r="D33" s="152" t="e">
        <f>+#REF!+#REF!+#REF!</f>
        <v>#REF!</v>
      </c>
      <c r="E33" s="152" t="e">
        <f>+#REF!+#REF!+#REF!</f>
        <v>#REF!</v>
      </c>
      <c r="F33" s="152">
        <f>SUM(F7+F27+F31)</f>
        <v>2516099</v>
      </c>
      <c r="G33" s="152" t="e">
        <f t="shared" si="2"/>
        <v>#REF!</v>
      </c>
      <c r="I33" s="1135">
        <f t="shared" si="3"/>
        <v>0</v>
      </c>
      <c r="J33" s="1135"/>
      <c r="K33" s="1135">
        <f>SUM('3. a. sz. mell'!F33+'3.b. sz. mell'!F33+'3.c. sz. mell '!F33)</f>
        <v>2516099</v>
      </c>
    </row>
    <row r="34" spans="1:11" s="99" customFormat="1" ht="15" customHeight="1" x14ac:dyDescent="0.2">
      <c r="A34" s="153"/>
      <c r="B34" s="153"/>
      <c r="C34" s="154"/>
      <c r="D34" s="155"/>
      <c r="E34" s="155"/>
      <c r="F34" s="155"/>
      <c r="G34" s="155"/>
      <c r="I34" s="1135">
        <f t="shared" si="3"/>
        <v>0</v>
      </c>
      <c r="J34" s="1135"/>
      <c r="K34" s="1135">
        <f>SUM('3. a. sz. mell'!F34+'3.b. sz. mell'!F34+'3.c. sz. mell '!F34)</f>
        <v>0</v>
      </c>
    </row>
    <row r="35" spans="1:11" s="89" customFormat="1" ht="20.25" customHeight="1" x14ac:dyDescent="0.2">
      <c r="A35" s="156"/>
      <c r="B35" s="157"/>
      <c r="C35" s="121" t="s">
        <v>82</v>
      </c>
      <c r="D35" s="122"/>
      <c r="E35" s="122"/>
      <c r="F35" s="122"/>
      <c r="G35" s="122"/>
      <c r="I35" s="1135">
        <f t="shared" si="3"/>
        <v>0</v>
      </c>
      <c r="J35" s="1135"/>
      <c r="K35" s="1135">
        <f>SUM('3. a. sz. mell'!F35+'3.b. sz. mell'!F35+'3.c. sz. mell '!F35)</f>
        <v>0</v>
      </c>
    </row>
    <row r="36" spans="1:11" s="125" customFormat="1" ht="15" customHeight="1" x14ac:dyDescent="0.2">
      <c r="A36" s="93" t="s">
        <v>2</v>
      </c>
      <c r="B36" s="2"/>
      <c r="C36" s="10" t="s">
        <v>1620</v>
      </c>
      <c r="D36" s="141">
        <f>SUM(D37:D41)+D50</f>
        <v>873535</v>
      </c>
      <c r="E36" s="141">
        <f t="shared" ref="E36" si="5">SUM(E37:E41)+E50</f>
        <v>1045962</v>
      </c>
      <c r="F36" s="141">
        <f>SUM(F37:F41)</f>
        <v>901014</v>
      </c>
      <c r="G36" s="141">
        <f t="shared" si="2"/>
        <v>86.142135182731309</v>
      </c>
      <c r="I36" s="1135">
        <f t="shared" si="3"/>
        <v>0</v>
      </c>
      <c r="J36" s="1135"/>
      <c r="K36" s="1135">
        <f>SUM('3. a. sz. mell'!F36+'3.b. sz. mell'!F36+'3.c. sz. mell '!F36)</f>
        <v>901014</v>
      </c>
    </row>
    <row r="37" spans="1:11" ht="15" customHeight="1" x14ac:dyDescent="0.2">
      <c r="A37" s="113"/>
      <c r="B37" s="124" t="s">
        <v>50</v>
      </c>
      <c r="C37" s="3" t="s">
        <v>51</v>
      </c>
      <c r="D37" s="147">
        <f>SUM('3.2.sz.melléklet'!E173+'3.2.sz.melléklet'!E191+'3.2.sz.melléklet'!E196+'3.2.sz.melléklet'!E216)</f>
        <v>16170</v>
      </c>
      <c r="E37" s="147">
        <f>SUM('3.2.sz.melléklet'!F173+'3.2.sz.melléklet'!F191+'3.2.sz.melléklet'!F196+'3.2.sz.melléklet'!F216)</f>
        <v>49543</v>
      </c>
      <c r="F37" s="147">
        <f>SUM('3.2.sz.melléklet'!G173+'3.2.sz.melléklet'!G191+'3.2.sz.melléklet'!G196+'3.2.sz.melléklet'!G216)</f>
        <v>20697</v>
      </c>
      <c r="G37" s="147">
        <f t="shared" si="2"/>
        <v>41.775831096219449</v>
      </c>
      <c r="I37" s="1135">
        <f t="shared" si="3"/>
        <v>0</v>
      </c>
      <c r="J37" s="1135"/>
      <c r="K37" s="1135">
        <f>SUM('3. a. sz. mell'!F37+'3.b. sz. mell'!F37+'3.c. sz. mell '!F37)</f>
        <v>20697</v>
      </c>
    </row>
    <row r="38" spans="1:11" ht="15" customHeight="1" x14ac:dyDescent="0.2">
      <c r="A38" s="97"/>
      <c r="B38" s="109" t="s">
        <v>52</v>
      </c>
      <c r="C38" s="3" t="s">
        <v>53</v>
      </c>
      <c r="D38" s="142">
        <f>SUM('3.2.sz.melléklet'!E7+'3.2.sz.melléklet'!E174+'3.2.sz.melléklet'!E192+'3.2.sz.melléklet'!E197+'3.2.sz.melléklet'!E217)</f>
        <v>10003</v>
      </c>
      <c r="E38" s="142">
        <f>SUM('3.2.sz.melléklet'!F7+'3.2.sz.melléklet'!F174+'3.2.sz.melléklet'!F192+'3.2.sz.melléklet'!F197+'3.2.sz.melléklet'!F217)</f>
        <v>17364</v>
      </c>
      <c r="F38" s="142">
        <f>SUM('3.2.sz.melléklet'!G7+'3.2.sz.melléklet'!G174+'3.2.sz.melléklet'!G192+'3.2.sz.melléklet'!G197+'3.2.sz.melléklet'!G217)</f>
        <v>8660</v>
      </c>
      <c r="G38" s="142">
        <f t="shared" si="2"/>
        <v>49.87330108269984</v>
      </c>
      <c r="I38" s="1135">
        <f t="shared" si="3"/>
        <v>0</v>
      </c>
      <c r="J38" s="1135"/>
      <c r="K38" s="1135">
        <f>SUM('3. a. sz. mell'!F38+'3.b. sz. mell'!F38+'3.c. sz. mell '!F38)</f>
        <v>8660</v>
      </c>
    </row>
    <row r="39" spans="1:11" ht="15" customHeight="1" x14ac:dyDescent="0.2">
      <c r="A39" s="97"/>
      <c r="B39" s="109" t="s">
        <v>54</v>
      </c>
      <c r="C39" s="3" t="s">
        <v>55</v>
      </c>
      <c r="D39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39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39" s="142">
        <f>SUM('3.2.sz.melléklet'!G15+'3.2.sz.melléklet'!G16+'3.2.sz.melléklet'!G19+'3.2.sz.melléklet'!G175+'3.2.sz.melléklet'!G184+'3.2.sz.melléklet'!G193+'3.2.sz.melléklet'!G198+'3.2.sz.melléklet'!G201+'3.2.sz.melléklet'!G203+'3.2.sz.melléklet'!G205+'3.2.sz.melléklet'!G214+'3.2.sz.melléklet'!G218+'3.2.sz.melléklet'!G18)+'3.2.sz.melléklet'!G17+'3.2.sz.melléklet'!G21</f>
        <v>559716</v>
      </c>
      <c r="G39" s="142">
        <f t="shared" si="2"/>
        <v>74.127598596688259</v>
      </c>
      <c r="I39" s="1135">
        <f t="shared" si="3"/>
        <v>0</v>
      </c>
      <c r="J39" s="1135"/>
      <c r="K39" s="1135">
        <f>SUM('3. a. sz. mell'!F39+'3.b. sz. mell'!F39+'3.c. sz. mell '!F39)</f>
        <v>559716</v>
      </c>
    </row>
    <row r="40" spans="1:11" ht="15" customHeight="1" x14ac:dyDescent="0.2">
      <c r="A40" s="97"/>
      <c r="B40" s="109" t="s">
        <v>56</v>
      </c>
      <c r="C40" s="3" t="s">
        <v>57</v>
      </c>
      <c r="D40" s="142">
        <f>SUM('3.2.sz.melléklet'!E116)</f>
        <v>17000</v>
      </c>
      <c r="E40" s="142">
        <f>SUM('3.2.sz.melléklet'!F116)</f>
        <v>17000</v>
      </c>
      <c r="F40" s="142">
        <f>SUM('3.2.sz.melléklet'!G116)</f>
        <v>17000</v>
      </c>
      <c r="G40" s="142">
        <f t="shared" si="2"/>
        <v>100</v>
      </c>
      <c r="I40" s="1135">
        <f t="shared" si="3"/>
        <v>0</v>
      </c>
      <c r="J40" s="1135"/>
      <c r="K40" s="1135">
        <f>SUM('3. a. sz. mell'!F40+'3.b. sz. mell'!F40+'3.c. sz. mell '!F40)</f>
        <v>17000</v>
      </c>
    </row>
    <row r="41" spans="1:11" ht="15" customHeight="1" x14ac:dyDescent="0.2">
      <c r="A41" s="97"/>
      <c r="B41" s="109" t="s">
        <v>58</v>
      </c>
      <c r="C41" s="3" t="s">
        <v>59</v>
      </c>
      <c r="D41" s="142">
        <f>SUM(D42:D49)</f>
        <v>133646</v>
      </c>
      <c r="E41" s="142">
        <f>SUM(E42:E49)</f>
        <v>193789</v>
      </c>
      <c r="F41" s="142">
        <f>SUM(F42:F49)</f>
        <v>294941</v>
      </c>
      <c r="G41" s="142">
        <f t="shared" si="2"/>
        <v>152.19697712460462</v>
      </c>
      <c r="I41" s="1135">
        <f t="shared" si="3"/>
        <v>0</v>
      </c>
      <c r="J41" s="1135"/>
      <c r="K41" s="1135">
        <f>SUM('3. a. sz. mell'!F41+'3.b. sz. mell'!F41+'3.c. sz. mell '!F41)</f>
        <v>294941</v>
      </c>
    </row>
    <row r="42" spans="1:11" ht="15" customHeight="1" x14ac:dyDescent="0.2">
      <c r="A42" s="97"/>
      <c r="B42" s="109" t="s">
        <v>60</v>
      </c>
      <c r="C42" s="158" t="s">
        <v>1428</v>
      </c>
      <c r="D42" s="142"/>
      <c r="E42" s="142"/>
      <c r="F42" s="142">
        <f>SUM('3.2.sz.melléklet'!G27)</f>
        <v>99285</v>
      </c>
      <c r="G42" s="142"/>
      <c r="I42" s="1135">
        <f t="shared" si="3"/>
        <v>0</v>
      </c>
      <c r="J42" s="1135"/>
      <c r="K42" s="1135">
        <f>SUM('3. a. sz. mell'!F42+'3.b. sz. mell'!F42+'3.c. sz. mell '!F42)</f>
        <v>99285</v>
      </c>
    </row>
    <row r="43" spans="1:11" ht="15" customHeight="1" x14ac:dyDescent="0.2">
      <c r="A43" s="97"/>
      <c r="B43" s="109" t="s">
        <v>61</v>
      </c>
      <c r="C43" s="158" t="s">
        <v>1548</v>
      </c>
      <c r="D43" s="142"/>
      <c r="E43" s="142"/>
      <c r="F43" s="142">
        <f>SUM('3.2.sz.melléklet'!G41)</f>
        <v>89231</v>
      </c>
      <c r="G43" s="142"/>
      <c r="I43" s="1135">
        <f t="shared" si="3"/>
        <v>0</v>
      </c>
      <c r="J43" s="1135"/>
      <c r="K43" s="1135">
        <f>SUM('3. a. sz. mell'!F43+'3.b. sz. mell'!F43+'3.c. sz. mell '!F43)</f>
        <v>89231</v>
      </c>
    </row>
    <row r="44" spans="1:11" ht="15" customHeight="1" thickBot="1" x14ac:dyDescent="0.25">
      <c r="A44" s="97"/>
      <c r="B44" s="109" t="s">
        <v>139</v>
      </c>
      <c r="C44" s="158" t="s">
        <v>87</v>
      </c>
      <c r="D44" s="142"/>
      <c r="E44" s="142"/>
      <c r="F44" s="142">
        <f>SUM('3.2.sz.melléklet'!G122)</f>
        <v>106425</v>
      </c>
      <c r="G44" s="142"/>
      <c r="I44" s="1135">
        <f t="shared" si="3"/>
        <v>0</v>
      </c>
      <c r="J44" s="1135"/>
      <c r="K44" s="1135">
        <f>SUM('3. a. sz. mell'!F44+'3.b. sz. mell'!F44+'3.c. sz. mell '!F44)</f>
        <v>106425</v>
      </c>
    </row>
    <row r="45" spans="1:11" ht="15" hidden="1" customHeight="1" x14ac:dyDescent="0.2">
      <c r="A45" s="97"/>
      <c r="B45" s="109"/>
      <c r="C45" s="158"/>
      <c r="D45" s="142">
        <f>SUM('3.2.sz.melléklet'!E41)</f>
        <v>101646</v>
      </c>
      <c r="E45" s="142">
        <f>SUM('3.2.sz.melléklet'!F41)-'3.2.sz.melléklet'!F60-'3.2.sz.melléklet'!F61</f>
        <v>151236</v>
      </c>
      <c r="F45" s="142"/>
      <c r="G45" s="142">
        <f t="shared" ref="G45:G72" si="6">F45/E45*100</f>
        <v>0</v>
      </c>
      <c r="I45" s="1135">
        <f t="shared" si="3"/>
        <v>0</v>
      </c>
      <c r="J45" s="1135"/>
      <c r="K45" s="1135">
        <f>SUM('3. a. sz. mell'!F45+'3.b. sz. mell'!F45+'3.c. sz. mell '!F45)</f>
        <v>0</v>
      </c>
    </row>
    <row r="46" spans="1:11" ht="15" hidden="1" customHeight="1" x14ac:dyDescent="0.2">
      <c r="A46" s="97"/>
      <c r="B46" s="109"/>
      <c r="C46" s="158"/>
      <c r="D46" s="142"/>
      <c r="E46" s="142">
        <f>'3.2.sz.melléklet'!F27+'3.2.sz.melléklet'!F60+'3.2.sz.melléklet'!F61</f>
        <v>10553</v>
      </c>
      <c r="F46" s="142"/>
      <c r="G46" s="142">
        <f t="shared" si="6"/>
        <v>0</v>
      </c>
      <c r="I46" s="1135">
        <f t="shared" si="3"/>
        <v>0</v>
      </c>
      <c r="J46" s="1135"/>
      <c r="K46" s="1135">
        <f>SUM('3. a. sz. mell'!F46+'3.b. sz. mell'!F46+'3.c. sz. mell '!F46)</f>
        <v>0</v>
      </c>
    </row>
    <row r="47" spans="1:11" ht="15" hidden="1" customHeight="1" x14ac:dyDescent="0.2">
      <c r="A47" s="97"/>
      <c r="B47" s="109"/>
      <c r="C47" s="158"/>
      <c r="D47" s="142"/>
      <c r="E47" s="142"/>
      <c r="F47" s="142"/>
      <c r="G47" s="142"/>
      <c r="I47" s="1135">
        <f t="shared" si="3"/>
        <v>0</v>
      </c>
      <c r="J47" s="1135"/>
      <c r="K47" s="1135">
        <f>SUM('3. a. sz. mell'!F47+'3.b. sz. mell'!F47+'3.c. sz. mell '!F47)</f>
        <v>0</v>
      </c>
    </row>
    <row r="48" spans="1:11" ht="15" hidden="1" customHeight="1" x14ac:dyDescent="0.2">
      <c r="A48" s="97"/>
      <c r="B48" s="109"/>
      <c r="C48" s="158"/>
      <c r="D48" s="142">
        <f>SUM('3.2.sz.melléklet'!E17)</f>
        <v>32000</v>
      </c>
      <c r="E48" s="142">
        <f>SUM('3.2.sz.melléklet'!F17)</f>
        <v>32000</v>
      </c>
      <c r="F48" s="142"/>
      <c r="G48" s="142"/>
      <c r="I48" s="1135">
        <f t="shared" si="3"/>
        <v>0</v>
      </c>
      <c r="J48" s="1135"/>
      <c r="K48" s="1135">
        <f>SUM('3. a. sz. mell'!F48+'3.b. sz. mell'!F48+'3.c. sz. mell '!F48)</f>
        <v>0</v>
      </c>
    </row>
    <row r="49" spans="1:15" ht="15" hidden="1" customHeight="1" x14ac:dyDescent="0.2">
      <c r="A49" s="104"/>
      <c r="B49" s="109"/>
      <c r="C49" s="158"/>
      <c r="D49" s="145"/>
      <c r="E49" s="145"/>
      <c r="F49" s="145"/>
      <c r="G49" s="145"/>
      <c r="I49" s="1135">
        <f t="shared" si="3"/>
        <v>0</v>
      </c>
      <c r="J49" s="1135"/>
      <c r="K49" s="1135">
        <f>SUM('3. a. sz. mell'!F49+'3.b. sz. mell'!F49+'3.c. sz. mell '!F49)</f>
        <v>0</v>
      </c>
    </row>
    <row r="50" spans="1:15" ht="15" hidden="1" customHeight="1" x14ac:dyDescent="0.2">
      <c r="A50" s="111"/>
      <c r="B50" s="112"/>
      <c r="C50" s="129"/>
      <c r="D50" s="159">
        <f>SUM('3.2.sz.melléklet'!E124)</f>
        <v>143605</v>
      </c>
      <c r="E50" s="159">
        <f>'3.2.sz.melléklet'!F122</f>
        <v>13195</v>
      </c>
      <c r="F50" s="159"/>
      <c r="G50" s="159"/>
      <c r="I50" s="1135">
        <f t="shared" si="3"/>
        <v>0</v>
      </c>
      <c r="J50" s="1135"/>
      <c r="K50" s="1135">
        <f>SUM('3. a. sz. mell'!F50+'3.b. sz. mell'!F50+'3.c. sz. mell '!F50)</f>
        <v>0</v>
      </c>
    </row>
    <row r="51" spans="1:15" ht="15" customHeight="1" thickBot="1" x14ac:dyDescent="0.25">
      <c r="A51" s="93" t="s">
        <v>3</v>
      </c>
      <c r="B51" s="2"/>
      <c r="C51" s="10" t="s">
        <v>140</v>
      </c>
      <c r="D51" s="141">
        <f>SUM(D52:D54)</f>
        <v>222432</v>
      </c>
      <c r="E51" s="141">
        <f>SUM(E52:E54)</f>
        <v>696460</v>
      </c>
      <c r="F51" s="141">
        <f>SUM(F52:F54)</f>
        <v>252772</v>
      </c>
      <c r="G51" s="141">
        <f t="shared" si="6"/>
        <v>36.293828791316088</v>
      </c>
      <c r="I51" s="1135">
        <f t="shared" si="3"/>
        <v>0</v>
      </c>
      <c r="J51" s="1135"/>
      <c r="K51" s="1135">
        <f>SUM('3. a. sz. mell'!F51+'3.b. sz. mell'!F51+'3.c. sz. mell '!F51)</f>
        <v>252772</v>
      </c>
    </row>
    <row r="52" spans="1:15" s="125" customFormat="1" ht="15" customHeight="1" x14ac:dyDescent="0.2">
      <c r="A52" s="113"/>
      <c r="B52" s="109" t="s">
        <v>141</v>
      </c>
      <c r="C52" s="3" t="s">
        <v>142</v>
      </c>
      <c r="D52" s="147">
        <f>SUM('3.2.sz.melléklet'!E140)</f>
        <v>91500</v>
      </c>
      <c r="E52" s="147">
        <f>SUM('3.2.sz.melléklet'!F140)</f>
        <v>595591</v>
      </c>
      <c r="F52" s="147">
        <f>SUM('3.2.sz.melléklet'!G140)</f>
        <v>130500</v>
      </c>
      <c r="G52" s="147">
        <f t="shared" si="6"/>
        <v>21.911009400746487</v>
      </c>
      <c r="I52" s="1135">
        <f t="shared" si="3"/>
        <v>0</v>
      </c>
      <c r="J52" s="1135"/>
      <c r="K52" s="1135">
        <f>SUM('3. a. sz. mell'!F52+'3.b. sz. mell'!F52+'3.c. sz. mell '!F52)</f>
        <v>130500</v>
      </c>
    </row>
    <row r="53" spans="1:15" ht="15" customHeight="1" x14ac:dyDescent="0.2">
      <c r="A53" s="97"/>
      <c r="B53" s="109" t="s">
        <v>143</v>
      </c>
      <c r="C53" s="3" t="s">
        <v>64</v>
      </c>
      <c r="D53" s="142">
        <f>SUM('3.2.sz.melléklet'!E139)</f>
        <v>25000</v>
      </c>
      <c r="E53" s="142">
        <f>SUM('3.2.sz.melléklet'!F139)</f>
        <v>25000</v>
      </c>
      <c r="F53" s="142">
        <f>SUM('3.2.sz.melléklet'!G139)</f>
        <v>15000</v>
      </c>
      <c r="G53" s="142">
        <f t="shared" si="6"/>
        <v>60</v>
      </c>
      <c r="I53" s="1135">
        <f t="shared" si="3"/>
        <v>0</v>
      </c>
      <c r="J53" s="1135"/>
      <c r="K53" s="1135">
        <f>SUM('3. a. sz. mell'!F53+'3.b. sz. mell'!F53+'3.c. sz. mell '!F53)</f>
        <v>15000</v>
      </c>
    </row>
    <row r="54" spans="1:15" ht="15" customHeight="1" x14ac:dyDescent="0.2">
      <c r="A54" s="97"/>
      <c r="B54" s="109" t="s">
        <v>144</v>
      </c>
      <c r="C54" s="3" t="s">
        <v>66</v>
      </c>
      <c r="D54" s="142">
        <f>SUM(D57+D56)</f>
        <v>105932</v>
      </c>
      <c r="E54" s="142">
        <f t="shared" ref="E54" si="7">SUM(E57+E56)</f>
        <v>75869</v>
      </c>
      <c r="F54" s="142">
        <f>SUM(F55:F57)</f>
        <v>107272</v>
      </c>
      <c r="G54" s="142">
        <f t="shared" si="6"/>
        <v>141.39108199659941</v>
      </c>
      <c r="I54" s="1135">
        <f t="shared" si="3"/>
        <v>0</v>
      </c>
      <c r="J54" s="1135"/>
      <c r="K54" s="1135">
        <f>SUM('3. a. sz. mell'!F54+'3.b. sz. mell'!F54+'3.c. sz. mell '!F54)</f>
        <v>107272</v>
      </c>
    </row>
    <row r="55" spans="1:15" ht="15" customHeight="1" x14ac:dyDescent="0.2">
      <c r="A55" s="1294"/>
      <c r="B55" s="1295" t="s">
        <v>469</v>
      </c>
      <c r="C55" s="158" t="s">
        <v>1621</v>
      </c>
      <c r="D55" s="1296"/>
      <c r="E55" s="1296"/>
      <c r="F55" s="1296">
        <f>SUM('3.2.sz.melléklet'!G144)</f>
        <v>80000</v>
      </c>
      <c r="G55" s="1296"/>
      <c r="I55" s="1135">
        <f t="shared" si="3"/>
        <v>0</v>
      </c>
      <c r="J55" s="1135"/>
      <c r="K55" s="1135">
        <f>SUM('3. a. sz. mell'!F55+'3.b. sz. mell'!F55+'3.c. sz. mell '!F55)</f>
        <v>80000</v>
      </c>
    </row>
    <row r="56" spans="1:15" ht="15" customHeight="1" x14ac:dyDescent="0.2">
      <c r="A56" s="97"/>
      <c r="B56" s="1295" t="s">
        <v>470</v>
      </c>
      <c r="C56" s="158" t="s">
        <v>62</v>
      </c>
      <c r="D56" s="142">
        <f>SUM('3.2.sz.melléklet'!E148+'3.2.sz.melléklet'!E149)</f>
        <v>54500</v>
      </c>
      <c r="E56" s="142">
        <f>SUM('3.2.sz.melléklet'!F148+'3.2.sz.melléklet'!F149)</f>
        <v>54500</v>
      </c>
      <c r="F56" s="142">
        <f>SUM('3.2.sz.melléklet'!G149)</f>
        <v>0</v>
      </c>
      <c r="G56" s="142">
        <f t="shared" si="6"/>
        <v>0</v>
      </c>
      <c r="I56" s="1135">
        <f t="shared" si="3"/>
        <v>0</v>
      </c>
      <c r="J56" s="1135"/>
      <c r="K56" s="1135">
        <f>SUM('3. a. sz. mell'!F56+'3.b. sz. mell'!F56+'3.c. sz. mell '!F56)</f>
        <v>0</v>
      </c>
    </row>
    <row r="57" spans="1:15" s="125" customFormat="1" ht="15" customHeight="1" thickBot="1" x14ac:dyDescent="0.25">
      <c r="A57" s="97"/>
      <c r="B57" s="1295" t="s">
        <v>471</v>
      </c>
      <c r="C57" s="158" t="s">
        <v>87</v>
      </c>
      <c r="D57" s="142">
        <f>SUM(D58:D60)</f>
        <v>51432</v>
      </c>
      <c r="E57" s="142">
        <f t="shared" ref="E57" si="8">SUM(E58:E60)</f>
        <v>21369</v>
      </c>
      <c r="F57" s="142">
        <f>SUM('3.2.sz.melléklet'!G156)</f>
        <v>27272</v>
      </c>
      <c r="G57" s="142">
        <f t="shared" si="6"/>
        <v>127.62412841031401</v>
      </c>
      <c r="I57" s="1135">
        <f t="shared" si="3"/>
        <v>0</v>
      </c>
      <c r="J57" s="1135"/>
      <c r="K57" s="1135">
        <f>SUM('3. a. sz. mell'!F57+'3.b. sz. mell'!F57+'3.c. sz. mell '!F57)</f>
        <v>27272</v>
      </c>
    </row>
    <row r="58" spans="1:15" ht="15" hidden="1" customHeight="1" x14ac:dyDescent="0.25">
      <c r="A58" s="97"/>
      <c r="B58" s="109"/>
      <c r="C58" s="160"/>
      <c r="D58" s="161">
        <f>SUM('3.2.sz.melléklet'!E144)</f>
        <v>51432</v>
      </c>
      <c r="E58" s="161">
        <f>SUM('3.2.sz.melléklet'!F144)</f>
        <v>21369</v>
      </c>
      <c r="F58" s="161"/>
      <c r="G58" s="161">
        <f t="shared" si="6"/>
        <v>0</v>
      </c>
      <c r="I58" s="1135">
        <f t="shared" si="3"/>
        <v>0</v>
      </c>
      <c r="J58" s="1135"/>
      <c r="K58" s="1135">
        <f>SUM('3. a. sz. mell'!F58+'3.b. sz. mell'!F58+'3.c. sz. mell '!F58)</f>
        <v>0</v>
      </c>
      <c r="O58" s="127"/>
    </row>
    <row r="59" spans="1:15" ht="15" hidden="1" customHeight="1" x14ac:dyDescent="0.25">
      <c r="A59" s="97"/>
      <c r="B59" s="109"/>
      <c r="C59" s="160"/>
      <c r="D59" s="161"/>
      <c r="E59" s="161"/>
      <c r="F59" s="161"/>
      <c r="G59" s="161"/>
      <c r="I59" s="1135">
        <f t="shared" si="3"/>
        <v>0</v>
      </c>
      <c r="J59" s="1135"/>
      <c r="K59" s="1135">
        <f>SUM('3. a. sz. mell'!F59+'3.b. sz. mell'!F59+'3.c. sz. mell '!F59)</f>
        <v>0</v>
      </c>
    </row>
    <row r="60" spans="1:15" ht="15" hidden="1" customHeight="1" x14ac:dyDescent="0.25">
      <c r="A60" s="104"/>
      <c r="B60" s="109"/>
      <c r="C60" s="162"/>
      <c r="D60" s="163"/>
      <c r="E60" s="163"/>
      <c r="F60" s="163">
        <f>'3.2.sz.melléklet'!G142</f>
        <v>0</v>
      </c>
      <c r="G60" s="163"/>
      <c r="I60" s="1135">
        <f t="shared" si="3"/>
        <v>0</v>
      </c>
      <c r="J60" s="1135"/>
      <c r="K60" s="1135">
        <f>SUM('3. a. sz. mell'!F60+'3.b. sz. mell'!F60+'3.c. sz. mell '!F60)</f>
        <v>0</v>
      </c>
    </row>
    <row r="61" spans="1:15" ht="15" hidden="1" customHeight="1" x14ac:dyDescent="0.2">
      <c r="A61" s="93"/>
      <c r="B61" s="2"/>
      <c r="C61" s="10"/>
      <c r="D61" s="119"/>
      <c r="E61" s="119">
        <f>'3.2.sz.melléklet'!F147</f>
        <v>6831</v>
      </c>
      <c r="F61" s="119"/>
      <c r="G61" s="119">
        <f t="shared" si="6"/>
        <v>0</v>
      </c>
      <c r="I61" s="1135">
        <f t="shared" si="3"/>
        <v>0</v>
      </c>
      <c r="J61" s="1135"/>
      <c r="K61" s="1135">
        <f>SUM('3. a. sz. mell'!F61+'3.b. sz. mell'!F61+'3.c. sz. mell '!F61)</f>
        <v>0</v>
      </c>
    </row>
    <row r="62" spans="1:15" s="125" customFormat="1" ht="15" hidden="1" customHeight="1" x14ac:dyDescent="0.2">
      <c r="A62" s="93"/>
      <c r="B62" s="2"/>
      <c r="C62" s="10"/>
      <c r="D62" s="141">
        <f>+D63+D65</f>
        <v>115000</v>
      </c>
      <c r="E62" s="141">
        <f t="shared" ref="E62:F62" si="9">+E63+E65</f>
        <v>258544</v>
      </c>
      <c r="F62" s="141">
        <f t="shared" si="9"/>
        <v>0</v>
      </c>
      <c r="G62" s="141">
        <f t="shared" si="6"/>
        <v>0</v>
      </c>
      <c r="I62" s="1135">
        <f t="shared" si="3"/>
        <v>0</v>
      </c>
      <c r="J62" s="1135"/>
      <c r="K62" s="1135">
        <f>SUM('3. a. sz. mell'!F62+'3.b. sz. mell'!F62+'3.c. sz. mell '!F62)</f>
        <v>0</v>
      </c>
    </row>
    <row r="63" spans="1:15" s="125" customFormat="1" ht="15" hidden="1" customHeight="1" x14ac:dyDescent="0.2">
      <c r="A63" s="113"/>
      <c r="B63" s="124"/>
      <c r="C63" s="3"/>
      <c r="D63" s="147">
        <f>SUM('3.2.sz.melléklet'!E157)</f>
        <v>20000</v>
      </c>
      <c r="E63" s="147"/>
      <c r="F63" s="147">
        <f>SUM('3.2.sz.melléklet'!G157)</f>
        <v>0</v>
      </c>
      <c r="G63" s="147" t="e">
        <f t="shared" si="6"/>
        <v>#DIV/0!</v>
      </c>
      <c r="I63" s="1135">
        <f t="shared" si="3"/>
        <v>0</v>
      </c>
      <c r="J63" s="1135"/>
      <c r="K63" s="1135">
        <f>SUM('3. a. sz. mell'!F63+'3.b. sz. mell'!F63+'3.c. sz. mell '!F63)</f>
        <v>0</v>
      </c>
    </row>
    <row r="64" spans="1:15" s="125" customFormat="1" ht="15" hidden="1" customHeight="1" x14ac:dyDescent="0.2">
      <c r="A64" s="100"/>
      <c r="B64" s="126"/>
      <c r="C64" s="3"/>
      <c r="D64" s="143"/>
      <c r="E64" s="147"/>
      <c r="F64" s="143"/>
      <c r="G64" s="143"/>
      <c r="I64" s="1135">
        <f t="shared" si="3"/>
        <v>0</v>
      </c>
      <c r="J64" s="1135"/>
      <c r="K64" s="1135">
        <f>SUM('3. a. sz. mell'!F64+'3.b. sz. mell'!F64+'3.c. sz. mell '!F64)</f>
        <v>0</v>
      </c>
    </row>
    <row r="65" spans="1:11" s="125" customFormat="1" ht="15" hidden="1" customHeight="1" x14ac:dyDescent="0.2">
      <c r="A65" s="104"/>
      <c r="B65" s="118"/>
      <c r="C65" s="3"/>
      <c r="D65" s="145">
        <f>SUM('3.2.sz.melléklet'!E158)</f>
        <v>95000</v>
      </c>
      <c r="E65" s="145">
        <f>SUM('3.2.sz.melléklet'!F158)</f>
        <v>258544</v>
      </c>
      <c r="F65" s="145"/>
      <c r="G65" s="145">
        <f t="shared" si="6"/>
        <v>0</v>
      </c>
      <c r="I65" s="1135">
        <f t="shared" si="3"/>
        <v>0</v>
      </c>
      <c r="J65" s="1135"/>
      <c r="K65" s="1135">
        <f>SUM('3. a. sz. mell'!F65+'3.b. sz. mell'!F65+'3.c. sz. mell '!F65)</f>
        <v>0</v>
      </c>
    </row>
    <row r="66" spans="1:11" s="125" customFormat="1" ht="15" hidden="1" customHeight="1" thickBot="1" x14ac:dyDescent="0.25">
      <c r="A66" s="93"/>
      <c r="B66" s="130"/>
      <c r="C66" s="10"/>
      <c r="D66" s="119">
        <f>SUM('3.2.sz.melléklet'!E33)</f>
        <v>1251895</v>
      </c>
      <c r="E66" s="119" t="e">
        <f>SUM('3.2.sz.melléklet'!F33)</f>
        <v>#REF!</v>
      </c>
      <c r="F66" s="119"/>
      <c r="G66" s="119" t="e">
        <f t="shared" si="6"/>
        <v>#REF!</v>
      </c>
      <c r="I66" s="1135">
        <f t="shared" si="3"/>
        <v>0</v>
      </c>
      <c r="J66" s="1135"/>
      <c r="K66" s="1135">
        <f>SUM('3. a. sz. mell'!F66+'3.b. sz. mell'!F66+'3.c. sz. mell '!F66)</f>
        <v>0</v>
      </c>
    </row>
    <row r="67" spans="1:11" s="125" customFormat="1" ht="15" customHeight="1" thickBot="1" x14ac:dyDescent="0.25">
      <c r="A67" s="93"/>
      <c r="B67" s="2"/>
      <c r="C67" s="8"/>
      <c r="D67" s="164">
        <f>+D36+D51+D61+D62+D66</f>
        <v>2462862</v>
      </c>
      <c r="E67" s="164" t="e">
        <f>+E36+E51+E61+E62+E66</f>
        <v>#REF!</v>
      </c>
      <c r="F67" s="164"/>
      <c r="G67" s="164" t="e">
        <f t="shared" si="6"/>
        <v>#REF!</v>
      </c>
      <c r="I67" s="1135">
        <f t="shared" si="3"/>
        <v>0</v>
      </c>
      <c r="J67" s="1135"/>
      <c r="K67" s="1135">
        <f>SUM('3. a. sz. mell'!F67+'3.b. sz. mell'!F67+'3.c. sz. mell '!F67)</f>
        <v>0</v>
      </c>
    </row>
    <row r="68" spans="1:11" s="125" customFormat="1" ht="15" customHeight="1" thickBot="1" x14ac:dyDescent="0.25">
      <c r="A68" s="93" t="s">
        <v>12</v>
      </c>
      <c r="B68" s="2"/>
      <c r="C68" s="10" t="s">
        <v>1623</v>
      </c>
      <c r="D68" s="141">
        <f>+D69+D70</f>
        <v>64000</v>
      </c>
      <c r="E68" s="141">
        <f t="shared" ref="E68:F68" si="10">+E69+E70</f>
        <v>64000</v>
      </c>
      <c r="F68" s="141">
        <f t="shared" si="10"/>
        <v>1362313</v>
      </c>
      <c r="G68" s="141">
        <f t="shared" si="6"/>
        <v>2128.6140625000003</v>
      </c>
      <c r="I68" s="1135">
        <f t="shared" si="3"/>
        <v>0</v>
      </c>
      <c r="J68" s="1135"/>
      <c r="K68" s="1135">
        <f>SUM('3. a. sz. mell'!F68+'3.b. sz. mell'!F68+'3.c. sz. mell '!F68)</f>
        <v>1362313</v>
      </c>
    </row>
    <row r="69" spans="1:11" ht="15" customHeight="1" x14ac:dyDescent="0.2">
      <c r="A69" s="113"/>
      <c r="B69" s="118" t="s">
        <v>720</v>
      </c>
      <c r="C69" s="3" t="s">
        <v>1622</v>
      </c>
      <c r="D69" s="147"/>
      <c r="E69" s="147"/>
      <c r="F69" s="147">
        <f>SUM('3.2.sz.melléklet'!G33)</f>
        <v>1356523</v>
      </c>
      <c r="G69" s="147"/>
      <c r="I69" s="1135">
        <f t="shared" si="3"/>
        <v>0</v>
      </c>
      <c r="J69" s="1135"/>
      <c r="K69" s="1135">
        <f>SUM('3. a. sz. mell'!F69+'3.b. sz. mell'!F69+'3.c. sz. mell '!F69)</f>
        <v>1356523</v>
      </c>
    </row>
    <row r="70" spans="1:11" ht="15" customHeight="1" thickBot="1" x14ac:dyDescent="0.25">
      <c r="A70" s="104"/>
      <c r="B70" s="118" t="s">
        <v>538</v>
      </c>
      <c r="C70" s="3" t="s">
        <v>135</v>
      </c>
      <c r="D70" s="145">
        <f>SUM('3.2.sz.melléklet'!E162)</f>
        <v>64000</v>
      </c>
      <c r="E70" s="145">
        <f>SUM('3.2.sz.melléklet'!F162)</f>
        <v>64000</v>
      </c>
      <c r="F70" s="145">
        <f>SUM('3.2.sz.melléklet'!G162)</f>
        <v>5790</v>
      </c>
      <c r="G70" s="145">
        <f t="shared" si="6"/>
        <v>9.046875</v>
      </c>
      <c r="I70" s="1135">
        <f t="shared" si="3"/>
        <v>0</v>
      </c>
      <c r="J70" s="1135"/>
      <c r="K70" s="1135">
        <f>SUM('3. a. sz. mell'!F70+'3.b. sz. mell'!F70+'3.c. sz. mell '!F70)</f>
        <v>5790</v>
      </c>
    </row>
    <row r="71" spans="1:11" s="99" customFormat="1" ht="15" customHeight="1" thickBot="1" x14ac:dyDescent="0.25">
      <c r="A71" s="93"/>
      <c r="B71" s="2"/>
      <c r="C71" s="10"/>
      <c r="D71" s="119"/>
      <c r="E71" s="119"/>
      <c r="F71" s="119">
        <f>'3.2.sz.melléklet'!G230</f>
        <v>0</v>
      </c>
      <c r="G71" s="119"/>
      <c r="I71" s="1135">
        <f t="shared" si="3"/>
        <v>0</v>
      </c>
      <c r="J71" s="1135"/>
      <c r="K71" s="1135">
        <f>SUM('3. a. sz. mell'!F71+'3.b. sz. mell'!F71+'3.c. sz. mell '!F71)</f>
        <v>0</v>
      </c>
    </row>
    <row r="72" spans="1:11" ht="15" customHeight="1" thickBot="1" x14ac:dyDescent="0.25">
      <c r="A72" s="150"/>
      <c r="B72" s="151"/>
      <c r="C72" s="9" t="s">
        <v>984</v>
      </c>
      <c r="D72" s="152">
        <f>+D67+D68</f>
        <v>2526862</v>
      </c>
      <c r="E72" s="152" t="e">
        <f t="shared" ref="E72" si="11">+E67+E68</f>
        <v>#REF!</v>
      </c>
      <c r="F72" s="152">
        <f>SUM(F36+F51+F68)</f>
        <v>2516099</v>
      </c>
      <c r="G72" s="152" t="e">
        <f t="shared" si="6"/>
        <v>#REF!</v>
      </c>
      <c r="I72" s="1135">
        <f t="shared" ref="I72:I76" si="12">SUM(F72-K72)</f>
        <v>0</v>
      </c>
      <c r="J72" s="1135"/>
      <c r="K72" s="1135">
        <f>SUM('3. a. sz. mell'!F72+'3.b. sz. mell'!F72+'3.c. sz. mell '!F72)</f>
        <v>2516099</v>
      </c>
    </row>
    <row r="73" spans="1:11" ht="21.75" hidden="1" customHeight="1" x14ac:dyDescent="0.2">
      <c r="A73" s="1297"/>
      <c r="B73" s="1298"/>
      <c r="C73" s="1300" t="s">
        <v>1624</v>
      </c>
      <c r="D73" s="1299"/>
      <c r="E73" s="1299"/>
      <c r="F73" s="1299">
        <f>SUM(F69)</f>
        <v>1356523</v>
      </c>
      <c r="G73" s="1299"/>
      <c r="I73" s="1135">
        <f t="shared" si="12"/>
        <v>0</v>
      </c>
      <c r="J73" s="1135"/>
      <c r="K73" s="1135">
        <f>SUM('3. a. sz. mell'!F73+'3.b. sz. mell'!F73+'3.c. sz. mell '!F73)</f>
        <v>1356523</v>
      </c>
    </row>
    <row r="74" spans="1:11" ht="20.25" hidden="1" customHeight="1" thickBot="1" x14ac:dyDescent="0.25">
      <c r="A74" s="165"/>
      <c r="B74" s="166"/>
      <c r="C74" s="1302" t="s">
        <v>1625</v>
      </c>
      <c r="D74" s="132"/>
      <c r="E74" s="132"/>
      <c r="F74" s="1301">
        <f>SUM(F72-F73)</f>
        <v>1159576</v>
      </c>
      <c r="G74" s="132"/>
      <c r="I74" s="1135">
        <f t="shared" si="12"/>
        <v>0</v>
      </c>
      <c r="J74" s="1135"/>
      <c r="K74" s="1135">
        <f>SUM('3. a. sz. mell'!F74+'3.b. sz. mell'!F74+'3.c. sz. mell '!F74)</f>
        <v>1159576</v>
      </c>
    </row>
    <row r="75" spans="1:11" ht="20.25" customHeight="1" thickBot="1" x14ac:dyDescent="0.25">
      <c r="A75" s="1520" t="s">
        <v>136</v>
      </c>
      <c r="B75" s="1520"/>
      <c r="C75" s="1520"/>
      <c r="D75" s="136">
        <f>SUM('3.2.sz.melléklet'!E199+'3.2.sz.melléklet'!E182)</f>
        <v>9.5</v>
      </c>
      <c r="E75" s="136">
        <f>SUM('3.2.sz.melléklet'!F199+'3.2.sz.melléklet'!F182)</f>
        <v>9.5</v>
      </c>
      <c r="F75" s="136">
        <f>SUM('3.2.sz.melléklet'!G199+'3.2.sz.melléklet'!G182)</f>
        <v>11</v>
      </c>
      <c r="G75" s="136"/>
      <c r="I75" s="1135">
        <f t="shared" si="12"/>
        <v>0</v>
      </c>
      <c r="J75" s="1136"/>
      <c r="K75" s="1135">
        <f>SUM('3. a. sz. mell'!F75+'3.b. sz. mell'!F75+'3.c. sz. mell '!F75)</f>
        <v>11</v>
      </c>
    </row>
    <row r="76" spans="1:11" ht="15" customHeight="1" thickBot="1" x14ac:dyDescent="0.25">
      <c r="A76" s="1520" t="s">
        <v>137</v>
      </c>
      <c r="B76" s="1520"/>
      <c r="C76" s="1520"/>
      <c r="D76" s="167">
        <v>13.5</v>
      </c>
      <c r="E76" s="167">
        <v>13.5</v>
      </c>
      <c r="F76" s="167">
        <f>SUM('3.2.sz.melléklet'!G194)</f>
        <v>43.5</v>
      </c>
      <c r="G76" s="167"/>
      <c r="I76" s="1135">
        <f t="shared" si="12"/>
        <v>0</v>
      </c>
      <c r="J76" s="1136"/>
      <c r="K76" s="1135">
        <f>SUM('3. a. sz. mell'!F76+'3.b. sz. mell'!F76+'3.c. sz. mell '!F76)</f>
        <v>43.5</v>
      </c>
    </row>
    <row r="77" spans="1:11" ht="15" customHeight="1" x14ac:dyDescent="0.2"/>
    <row r="78" spans="1:11" ht="15" customHeight="1" x14ac:dyDescent="0.2"/>
    <row r="79" spans="1:11" ht="13.5" thickBot="1" x14ac:dyDescent="0.25"/>
    <row r="80" spans="1:11" ht="16.5" thickBot="1" x14ac:dyDescent="0.25">
      <c r="E80" s="152">
        <v>4969009</v>
      </c>
      <c r="F80" s="152">
        <v>4971068</v>
      </c>
    </row>
    <row r="83" spans="5:6" ht="15.75" x14ac:dyDescent="0.2">
      <c r="E83" s="971" t="e">
        <f>SUM(E80-E72)</f>
        <v>#REF!</v>
      </c>
      <c r="F83" s="971">
        <f>SUM(F80-F72)</f>
        <v>2454969</v>
      </c>
    </row>
  </sheetData>
  <sheetProtection selectLockedCells="1" selectUnlockedCells="1"/>
  <mergeCells count="8">
    <mergeCell ref="A76:C76"/>
    <mergeCell ref="D3:F3"/>
    <mergeCell ref="A1:B1"/>
    <mergeCell ref="A2:B2"/>
    <mergeCell ref="A4:B4"/>
    <mergeCell ref="A75:C75"/>
    <mergeCell ref="D1:D2"/>
    <mergeCell ref="F1:F2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2014. évi 
bevételei és kiadásai&amp;R&amp;"Times New Roman,Normál"&amp;11 &amp;12 3. sz. melléklet
Ezer Ft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B1" workbookViewId="0">
      <selection activeCell="D17" sqref="D17"/>
    </sheetView>
  </sheetViews>
  <sheetFormatPr defaultRowHeight="12.75" x14ac:dyDescent="0.2"/>
  <cols>
    <col min="1" max="1" width="5.83203125" style="670" customWidth="1"/>
    <col min="2" max="2" width="60" style="76" customWidth="1"/>
    <col min="3" max="3" width="17.6640625" style="76" customWidth="1"/>
    <col min="4" max="4" width="19" style="76" customWidth="1"/>
    <col min="5" max="16384" width="9.33203125" style="76"/>
  </cols>
  <sheetData>
    <row r="1" spans="1:4" s="674" customFormat="1" ht="15.75" x14ac:dyDescent="0.2">
      <c r="A1" s="671"/>
      <c r="B1" s="672"/>
      <c r="C1" s="672"/>
      <c r="D1" s="673" t="s">
        <v>79</v>
      </c>
    </row>
    <row r="2" spans="1:4" s="676" customFormat="1" ht="48" customHeight="1" x14ac:dyDescent="0.2">
      <c r="A2" s="675" t="s">
        <v>862</v>
      </c>
      <c r="B2" s="87" t="s">
        <v>921</v>
      </c>
      <c r="C2" s="87" t="s">
        <v>922</v>
      </c>
      <c r="D2" s="88" t="s">
        <v>923</v>
      </c>
    </row>
    <row r="3" spans="1:4" s="676" customFormat="1" ht="14.1" customHeight="1" x14ac:dyDescent="0.2">
      <c r="A3" s="677">
        <v>1</v>
      </c>
      <c r="B3" s="678">
        <v>2</v>
      </c>
      <c r="C3" s="678">
        <v>3</v>
      </c>
      <c r="D3" s="679">
        <v>4</v>
      </c>
    </row>
    <row r="4" spans="1:4" ht="33.75" customHeight="1" x14ac:dyDescent="0.2">
      <c r="A4" s="680" t="s">
        <v>2</v>
      </c>
      <c r="B4" s="681" t="s">
        <v>924</v>
      </c>
      <c r="C4" s="875"/>
      <c r="D4" s="876"/>
    </row>
    <row r="5" spans="1:4" ht="29.25" customHeight="1" x14ac:dyDescent="0.2">
      <c r="A5" s="682" t="s">
        <v>3</v>
      </c>
      <c r="B5" s="683" t="s">
        <v>925</v>
      </c>
      <c r="C5" s="877"/>
      <c r="D5" s="874"/>
    </row>
    <row r="6" spans="1:4" ht="29.25" customHeight="1" x14ac:dyDescent="0.2">
      <c r="A6" s="682" t="s">
        <v>12</v>
      </c>
      <c r="B6" s="683" t="s">
        <v>926</v>
      </c>
      <c r="C6" s="877"/>
      <c r="D6" s="874"/>
    </row>
    <row r="7" spans="1:4" ht="28.5" customHeight="1" x14ac:dyDescent="0.2">
      <c r="A7" s="682" t="s">
        <v>68</v>
      </c>
      <c r="B7" s="683" t="s">
        <v>927</v>
      </c>
      <c r="C7" s="877"/>
      <c r="D7" s="874"/>
    </row>
    <row r="8" spans="1:4" ht="18" customHeight="1" x14ac:dyDescent="0.2">
      <c r="A8" s="682" t="s">
        <v>27</v>
      </c>
      <c r="B8" s="683" t="s">
        <v>928</v>
      </c>
      <c r="C8" s="877"/>
      <c r="D8" s="874"/>
    </row>
    <row r="9" spans="1:4" ht="18" customHeight="1" x14ac:dyDescent="0.2">
      <c r="A9" s="682" t="s">
        <v>32</v>
      </c>
      <c r="B9" s="683" t="s">
        <v>929</v>
      </c>
      <c r="C9" s="877"/>
      <c r="D9" s="874"/>
    </row>
    <row r="10" spans="1:4" ht="18" customHeight="1" x14ac:dyDescent="0.2">
      <c r="A10" s="682" t="s">
        <v>74</v>
      </c>
      <c r="B10" s="685" t="s">
        <v>930</v>
      </c>
      <c r="C10" s="877"/>
      <c r="D10" s="874"/>
    </row>
    <row r="11" spans="1:4" ht="18" customHeight="1" x14ac:dyDescent="0.2">
      <c r="A11" s="682" t="s">
        <v>38</v>
      </c>
      <c r="B11" s="685" t="s">
        <v>931</v>
      </c>
      <c r="C11" s="877"/>
      <c r="D11" s="874"/>
    </row>
    <row r="12" spans="1:4" ht="18" customHeight="1" x14ac:dyDescent="0.2">
      <c r="A12" s="682" t="s">
        <v>88</v>
      </c>
      <c r="B12" s="685" t="s">
        <v>932</v>
      </c>
      <c r="C12" s="877"/>
      <c r="D12" s="874"/>
    </row>
    <row r="13" spans="1:4" ht="18" customHeight="1" x14ac:dyDescent="0.2">
      <c r="A13" s="682" t="s">
        <v>41</v>
      </c>
      <c r="B13" s="685" t="s">
        <v>933</v>
      </c>
      <c r="C13" s="877"/>
      <c r="D13" s="874"/>
    </row>
    <row r="14" spans="1:4" ht="18" customHeight="1" x14ac:dyDescent="0.2">
      <c r="A14" s="682" t="s">
        <v>42</v>
      </c>
      <c r="B14" s="685" t="s">
        <v>934</v>
      </c>
      <c r="C14" s="877"/>
      <c r="D14" s="874"/>
    </row>
    <row r="15" spans="1:4" ht="41.25" customHeight="1" x14ac:dyDescent="0.2">
      <c r="A15" s="682" t="s">
        <v>45</v>
      </c>
      <c r="B15" s="685" t="s">
        <v>935</v>
      </c>
      <c r="C15" s="877"/>
      <c r="D15" s="874"/>
    </row>
    <row r="16" spans="1:4" ht="18" customHeight="1" x14ac:dyDescent="0.2">
      <c r="A16" s="682" t="s">
        <v>46</v>
      </c>
      <c r="B16" s="683" t="s">
        <v>936</v>
      </c>
      <c r="C16" s="877"/>
      <c r="D16" s="874">
        <v>10494</v>
      </c>
    </row>
    <row r="17" spans="1:4" ht="18" customHeight="1" x14ac:dyDescent="0.2">
      <c r="A17" s="682" t="s">
        <v>47</v>
      </c>
      <c r="B17" s="683" t="s">
        <v>937</v>
      </c>
      <c r="C17" s="877"/>
      <c r="D17" s="874"/>
    </row>
    <row r="18" spans="1:4" ht="18" customHeight="1" x14ac:dyDescent="0.2">
      <c r="A18" s="682" t="s">
        <v>91</v>
      </c>
      <c r="B18" s="683" t="s">
        <v>938</v>
      </c>
      <c r="C18" s="877"/>
      <c r="D18" s="874"/>
    </row>
    <row r="19" spans="1:4" ht="18" customHeight="1" x14ac:dyDescent="0.2">
      <c r="A19" s="682" t="s">
        <v>92</v>
      </c>
      <c r="B19" s="683" t="s">
        <v>939</v>
      </c>
      <c r="C19" s="877"/>
      <c r="D19" s="874"/>
    </row>
    <row r="20" spans="1:4" ht="18" customHeight="1" x14ac:dyDescent="0.2">
      <c r="A20" s="682" t="s">
        <v>93</v>
      </c>
      <c r="B20" s="683" t="s">
        <v>940</v>
      </c>
      <c r="C20" s="877"/>
      <c r="D20" s="874"/>
    </row>
    <row r="21" spans="1:4" ht="18" customHeight="1" x14ac:dyDescent="0.2">
      <c r="A21" s="682" t="s">
        <v>94</v>
      </c>
      <c r="B21" s="686"/>
      <c r="C21" s="878"/>
      <c r="D21" s="874"/>
    </row>
    <row r="22" spans="1:4" ht="18" customHeight="1" x14ac:dyDescent="0.2">
      <c r="A22" s="682" t="s">
        <v>95</v>
      </c>
      <c r="B22" s="688"/>
      <c r="C22" s="878"/>
      <c r="D22" s="874"/>
    </row>
    <row r="23" spans="1:4" ht="18" customHeight="1" x14ac:dyDescent="0.2">
      <c r="A23" s="682" t="s">
        <v>96</v>
      </c>
      <c r="B23" s="688"/>
      <c r="C23" s="687"/>
      <c r="D23" s="684"/>
    </row>
    <row r="24" spans="1:4" ht="18" customHeight="1" x14ac:dyDescent="0.2">
      <c r="A24" s="682" t="s">
        <v>97</v>
      </c>
      <c r="B24" s="688"/>
      <c r="C24" s="687"/>
      <c r="D24" s="684"/>
    </row>
    <row r="25" spans="1:4" ht="18" customHeight="1" x14ac:dyDescent="0.2">
      <c r="A25" s="682" t="s">
        <v>98</v>
      </c>
      <c r="B25" s="688"/>
      <c r="C25" s="687"/>
      <c r="D25" s="684"/>
    </row>
    <row r="26" spans="1:4" ht="18" customHeight="1" x14ac:dyDescent="0.2">
      <c r="A26" s="682" t="s">
        <v>100</v>
      </c>
      <c r="B26" s="688"/>
      <c r="C26" s="687"/>
      <c r="D26" s="684"/>
    </row>
    <row r="27" spans="1:4" ht="18" customHeight="1" x14ac:dyDescent="0.2">
      <c r="A27" s="682" t="s">
        <v>101</v>
      </c>
      <c r="B27" s="688"/>
      <c r="C27" s="687"/>
      <c r="D27" s="684"/>
    </row>
    <row r="28" spans="1:4" ht="18" customHeight="1" x14ac:dyDescent="0.2">
      <c r="A28" s="682" t="s">
        <v>103</v>
      </c>
      <c r="B28" s="688"/>
      <c r="C28" s="687"/>
      <c r="D28" s="684"/>
    </row>
    <row r="29" spans="1:4" ht="18" customHeight="1" x14ac:dyDescent="0.2">
      <c r="A29" s="689" t="s">
        <v>105</v>
      </c>
      <c r="B29" s="690"/>
      <c r="C29" s="691"/>
      <c r="D29" s="692"/>
    </row>
    <row r="30" spans="1:4" ht="18" customHeight="1" x14ac:dyDescent="0.2">
      <c r="A30" s="677" t="s">
        <v>941</v>
      </c>
      <c r="B30" s="693" t="s">
        <v>920</v>
      </c>
      <c r="C30" s="694">
        <f>SUM(C4:C29)</f>
        <v>0</v>
      </c>
      <c r="D30" s="695">
        <f>SUM(D4:D29)</f>
        <v>10494</v>
      </c>
    </row>
  </sheetData>
  <sheetProtection selectLockedCells="1" selectUnlockedCells="1"/>
  <printOptions horizontalCentered="1"/>
  <pageMargins left="0.43307086614173229" right="0.31496062992125984" top="1.6141732283464567" bottom="0.98425196850393704" header="0.78740157480314965" footer="0.78740157480314965"/>
  <pageSetup paperSize="9" firstPageNumber="152" orientation="portrait" useFirstPageNumber="1" r:id="rId1"/>
  <headerFooter alignWithMargins="0">
    <oddHeader>&amp;C&amp;"Times New Roman CE,Félkövér"&amp;14Vecsés Város  Önkormányzata 
által adott közvetett támogatások
(kedvezmények)&amp;R&amp;"Times New Roman,Normál"&amp;12 12. sz. melléklet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="110" zoomScaleNormal="110" workbookViewId="0">
      <selection activeCell="A24" sqref="A24:A25"/>
    </sheetView>
  </sheetViews>
  <sheetFormatPr defaultRowHeight="15.75" x14ac:dyDescent="0.25"/>
  <cols>
    <col min="1" max="1" width="4.83203125" style="1435" customWidth="1"/>
    <col min="2" max="2" width="31.1640625" style="1434" customWidth="1"/>
    <col min="3" max="4" width="9" style="1434" customWidth="1"/>
    <col min="5" max="5" width="9.5" style="1434" customWidth="1"/>
    <col min="6" max="6" width="8.83203125" style="1434" customWidth="1"/>
    <col min="7" max="7" width="8.6640625" style="1434" customWidth="1"/>
    <col min="8" max="8" width="8.83203125" style="1434" customWidth="1"/>
    <col min="9" max="9" width="8.1640625" style="1434" customWidth="1"/>
    <col min="10" max="14" width="9.5" style="1434" customWidth="1"/>
    <col min="15" max="15" width="12.6640625" style="1435" customWidth="1"/>
    <col min="16" max="256" width="9.33203125" style="1434"/>
    <col min="257" max="257" width="4.83203125" style="1434" customWidth="1"/>
    <col min="258" max="258" width="31.1640625" style="1434" customWidth="1"/>
    <col min="259" max="260" width="9" style="1434" customWidth="1"/>
    <col min="261" max="261" width="9.5" style="1434" customWidth="1"/>
    <col min="262" max="262" width="8.83203125" style="1434" customWidth="1"/>
    <col min="263" max="263" width="8.6640625" style="1434" customWidth="1"/>
    <col min="264" max="264" width="8.83203125" style="1434" customWidth="1"/>
    <col min="265" max="265" width="8.1640625" style="1434" customWidth="1"/>
    <col min="266" max="270" width="9.5" style="1434" customWidth="1"/>
    <col min="271" max="271" width="12.6640625" style="1434" customWidth="1"/>
    <col min="272" max="512" width="9.33203125" style="1434"/>
    <col min="513" max="513" width="4.83203125" style="1434" customWidth="1"/>
    <col min="514" max="514" width="31.1640625" style="1434" customWidth="1"/>
    <col min="515" max="516" width="9" style="1434" customWidth="1"/>
    <col min="517" max="517" width="9.5" style="1434" customWidth="1"/>
    <col min="518" max="518" width="8.83203125" style="1434" customWidth="1"/>
    <col min="519" max="519" width="8.6640625" style="1434" customWidth="1"/>
    <col min="520" max="520" width="8.83203125" style="1434" customWidth="1"/>
    <col min="521" max="521" width="8.1640625" style="1434" customWidth="1"/>
    <col min="522" max="526" width="9.5" style="1434" customWidth="1"/>
    <col min="527" max="527" width="12.6640625" style="1434" customWidth="1"/>
    <col min="528" max="768" width="9.33203125" style="1434"/>
    <col min="769" max="769" width="4.83203125" style="1434" customWidth="1"/>
    <col min="770" max="770" width="31.1640625" style="1434" customWidth="1"/>
    <col min="771" max="772" width="9" style="1434" customWidth="1"/>
    <col min="773" max="773" width="9.5" style="1434" customWidth="1"/>
    <col min="774" max="774" width="8.83203125" style="1434" customWidth="1"/>
    <col min="775" max="775" width="8.6640625" style="1434" customWidth="1"/>
    <col min="776" max="776" width="8.83203125" style="1434" customWidth="1"/>
    <col min="777" max="777" width="8.1640625" style="1434" customWidth="1"/>
    <col min="778" max="782" width="9.5" style="1434" customWidth="1"/>
    <col min="783" max="783" width="12.6640625" style="1434" customWidth="1"/>
    <col min="784" max="1024" width="9.33203125" style="1434"/>
    <col min="1025" max="1025" width="4.83203125" style="1434" customWidth="1"/>
    <col min="1026" max="1026" width="31.1640625" style="1434" customWidth="1"/>
    <col min="1027" max="1028" width="9" style="1434" customWidth="1"/>
    <col min="1029" max="1029" width="9.5" style="1434" customWidth="1"/>
    <col min="1030" max="1030" width="8.83203125" style="1434" customWidth="1"/>
    <col min="1031" max="1031" width="8.6640625" style="1434" customWidth="1"/>
    <col min="1032" max="1032" width="8.83203125" style="1434" customWidth="1"/>
    <col min="1033" max="1033" width="8.1640625" style="1434" customWidth="1"/>
    <col min="1034" max="1038" width="9.5" style="1434" customWidth="1"/>
    <col min="1039" max="1039" width="12.6640625" style="1434" customWidth="1"/>
    <col min="1040" max="1280" width="9.33203125" style="1434"/>
    <col min="1281" max="1281" width="4.83203125" style="1434" customWidth="1"/>
    <col min="1282" max="1282" width="31.1640625" style="1434" customWidth="1"/>
    <col min="1283" max="1284" width="9" style="1434" customWidth="1"/>
    <col min="1285" max="1285" width="9.5" style="1434" customWidth="1"/>
    <col min="1286" max="1286" width="8.83203125" style="1434" customWidth="1"/>
    <col min="1287" max="1287" width="8.6640625" style="1434" customWidth="1"/>
    <col min="1288" max="1288" width="8.83203125" style="1434" customWidth="1"/>
    <col min="1289" max="1289" width="8.1640625" style="1434" customWidth="1"/>
    <col min="1290" max="1294" width="9.5" style="1434" customWidth="1"/>
    <col min="1295" max="1295" width="12.6640625" style="1434" customWidth="1"/>
    <col min="1296" max="1536" width="9.33203125" style="1434"/>
    <col min="1537" max="1537" width="4.83203125" style="1434" customWidth="1"/>
    <col min="1538" max="1538" width="31.1640625" style="1434" customWidth="1"/>
    <col min="1539" max="1540" width="9" style="1434" customWidth="1"/>
    <col min="1541" max="1541" width="9.5" style="1434" customWidth="1"/>
    <col min="1542" max="1542" width="8.83203125" style="1434" customWidth="1"/>
    <col min="1543" max="1543" width="8.6640625" style="1434" customWidth="1"/>
    <col min="1544" max="1544" width="8.83203125" style="1434" customWidth="1"/>
    <col min="1545" max="1545" width="8.1640625" style="1434" customWidth="1"/>
    <col min="1546" max="1550" width="9.5" style="1434" customWidth="1"/>
    <col min="1551" max="1551" width="12.6640625" style="1434" customWidth="1"/>
    <col min="1552" max="1792" width="9.33203125" style="1434"/>
    <col min="1793" max="1793" width="4.83203125" style="1434" customWidth="1"/>
    <col min="1794" max="1794" width="31.1640625" style="1434" customWidth="1"/>
    <col min="1795" max="1796" width="9" style="1434" customWidth="1"/>
    <col min="1797" max="1797" width="9.5" style="1434" customWidth="1"/>
    <col min="1798" max="1798" width="8.83203125" style="1434" customWidth="1"/>
    <col min="1799" max="1799" width="8.6640625" style="1434" customWidth="1"/>
    <col min="1800" max="1800" width="8.83203125" style="1434" customWidth="1"/>
    <col min="1801" max="1801" width="8.1640625" style="1434" customWidth="1"/>
    <col min="1802" max="1806" width="9.5" style="1434" customWidth="1"/>
    <col min="1807" max="1807" width="12.6640625" style="1434" customWidth="1"/>
    <col min="1808" max="2048" width="9.33203125" style="1434"/>
    <col min="2049" max="2049" width="4.83203125" style="1434" customWidth="1"/>
    <col min="2050" max="2050" width="31.1640625" style="1434" customWidth="1"/>
    <col min="2051" max="2052" width="9" style="1434" customWidth="1"/>
    <col min="2053" max="2053" width="9.5" style="1434" customWidth="1"/>
    <col min="2054" max="2054" width="8.83203125" style="1434" customWidth="1"/>
    <col min="2055" max="2055" width="8.6640625" style="1434" customWidth="1"/>
    <col min="2056" max="2056" width="8.83203125" style="1434" customWidth="1"/>
    <col min="2057" max="2057" width="8.1640625" style="1434" customWidth="1"/>
    <col min="2058" max="2062" width="9.5" style="1434" customWidth="1"/>
    <col min="2063" max="2063" width="12.6640625" style="1434" customWidth="1"/>
    <col min="2064" max="2304" width="9.33203125" style="1434"/>
    <col min="2305" max="2305" width="4.83203125" style="1434" customWidth="1"/>
    <col min="2306" max="2306" width="31.1640625" style="1434" customWidth="1"/>
    <col min="2307" max="2308" width="9" style="1434" customWidth="1"/>
    <col min="2309" max="2309" width="9.5" style="1434" customWidth="1"/>
    <col min="2310" max="2310" width="8.83203125" style="1434" customWidth="1"/>
    <col min="2311" max="2311" width="8.6640625" style="1434" customWidth="1"/>
    <col min="2312" max="2312" width="8.83203125" style="1434" customWidth="1"/>
    <col min="2313" max="2313" width="8.1640625" style="1434" customWidth="1"/>
    <col min="2314" max="2318" width="9.5" style="1434" customWidth="1"/>
    <col min="2319" max="2319" width="12.6640625" style="1434" customWidth="1"/>
    <col min="2320" max="2560" width="9.33203125" style="1434"/>
    <col min="2561" max="2561" width="4.83203125" style="1434" customWidth="1"/>
    <col min="2562" max="2562" width="31.1640625" style="1434" customWidth="1"/>
    <col min="2563" max="2564" width="9" style="1434" customWidth="1"/>
    <col min="2565" max="2565" width="9.5" style="1434" customWidth="1"/>
    <col min="2566" max="2566" width="8.83203125" style="1434" customWidth="1"/>
    <col min="2567" max="2567" width="8.6640625" style="1434" customWidth="1"/>
    <col min="2568" max="2568" width="8.83203125" style="1434" customWidth="1"/>
    <col min="2569" max="2569" width="8.1640625" style="1434" customWidth="1"/>
    <col min="2570" max="2574" width="9.5" style="1434" customWidth="1"/>
    <col min="2575" max="2575" width="12.6640625" style="1434" customWidth="1"/>
    <col min="2576" max="2816" width="9.33203125" style="1434"/>
    <col min="2817" max="2817" width="4.83203125" style="1434" customWidth="1"/>
    <col min="2818" max="2818" width="31.1640625" style="1434" customWidth="1"/>
    <col min="2819" max="2820" width="9" style="1434" customWidth="1"/>
    <col min="2821" max="2821" width="9.5" style="1434" customWidth="1"/>
    <col min="2822" max="2822" width="8.83203125" style="1434" customWidth="1"/>
    <col min="2823" max="2823" width="8.6640625" style="1434" customWidth="1"/>
    <col min="2824" max="2824" width="8.83203125" style="1434" customWidth="1"/>
    <col min="2825" max="2825" width="8.1640625" style="1434" customWidth="1"/>
    <col min="2826" max="2830" width="9.5" style="1434" customWidth="1"/>
    <col min="2831" max="2831" width="12.6640625" style="1434" customWidth="1"/>
    <col min="2832" max="3072" width="9.33203125" style="1434"/>
    <col min="3073" max="3073" width="4.83203125" style="1434" customWidth="1"/>
    <col min="3074" max="3074" width="31.1640625" style="1434" customWidth="1"/>
    <col min="3075" max="3076" width="9" style="1434" customWidth="1"/>
    <col min="3077" max="3077" width="9.5" style="1434" customWidth="1"/>
    <col min="3078" max="3078" width="8.83203125" style="1434" customWidth="1"/>
    <col min="3079" max="3079" width="8.6640625" style="1434" customWidth="1"/>
    <col min="3080" max="3080" width="8.83203125" style="1434" customWidth="1"/>
    <col min="3081" max="3081" width="8.1640625" style="1434" customWidth="1"/>
    <col min="3082" max="3086" width="9.5" style="1434" customWidth="1"/>
    <col min="3087" max="3087" width="12.6640625" style="1434" customWidth="1"/>
    <col min="3088" max="3328" width="9.33203125" style="1434"/>
    <col min="3329" max="3329" width="4.83203125" style="1434" customWidth="1"/>
    <col min="3330" max="3330" width="31.1640625" style="1434" customWidth="1"/>
    <col min="3331" max="3332" width="9" style="1434" customWidth="1"/>
    <col min="3333" max="3333" width="9.5" style="1434" customWidth="1"/>
    <col min="3334" max="3334" width="8.83203125" style="1434" customWidth="1"/>
    <col min="3335" max="3335" width="8.6640625" style="1434" customWidth="1"/>
    <col min="3336" max="3336" width="8.83203125" style="1434" customWidth="1"/>
    <col min="3337" max="3337" width="8.1640625" style="1434" customWidth="1"/>
    <col min="3338" max="3342" width="9.5" style="1434" customWidth="1"/>
    <col min="3343" max="3343" width="12.6640625" style="1434" customWidth="1"/>
    <col min="3344" max="3584" width="9.33203125" style="1434"/>
    <col min="3585" max="3585" width="4.83203125" style="1434" customWidth="1"/>
    <col min="3586" max="3586" width="31.1640625" style="1434" customWidth="1"/>
    <col min="3587" max="3588" width="9" style="1434" customWidth="1"/>
    <col min="3589" max="3589" width="9.5" style="1434" customWidth="1"/>
    <col min="3590" max="3590" width="8.83203125" style="1434" customWidth="1"/>
    <col min="3591" max="3591" width="8.6640625" style="1434" customWidth="1"/>
    <col min="3592" max="3592" width="8.83203125" style="1434" customWidth="1"/>
    <col min="3593" max="3593" width="8.1640625" style="1434" customWidth="1"/>
    <col min="3594" max="3598" width="9.5" style="1434" customWidth="1"/>
    <col min="3599" max="3599" width="12.6640625" style="1434" customWidth="1"/>
    <col min="3600" max="3840" width="9.33203125" style="1434"/>
    <col min="3841" max="3841" width="4.83203125" style="1434" customWidth="1"/>
    <col min="3842" max="3842" width="31.1640625" style="1434" customWidth="1"/>
    <col min="3843" max="3844" width="9" style="1434" customWidth="1"/>
    <col min="3845" max="3845" width="9.5" style="1434" customWidth="1"/>
    <col min="3846" max="3846" width="8.83203125" style="1434" customWidth="1"/>
    <col min="3847" max="3847" width="8.6640625" style="1434" customWidth="1"/>
    <col min="3848" max="3848" width="8.83203125" style="1434" customWidth="1"/>
    <col min="3849" max="3849" width="8.1640625" style="1434" customWidth="1"/>
    <col min="3850" max="3854" width="9.5" style="1434" customWidth="1"/>
    <col min="3855" max="3855" width="12.6640625" style="1434" customWidth="1"/>
    <col min="3856" max="4096" width="9.33203125" style="1434"/>
    <col min="4097" max="4097" width="4.83203125" style="1434" customWidth="1"/>
    <col min="4098" max="4098" width="31.1640625" style="1434" customWidth="1"/>
    <col min="4099" max="4100" width="9" style="1434" customWidth="1"/>
    <col min="4101" max="4101" width="9.5" style="1434" customWidth="1"/>
    <col min="4102" max="4102" width="8.83203125" style="1434" customWidth="1"/>
    <col min="4103" max="4103" width="8.6640625" style="1434" customWidth="1"/>
    <col min="4104" max="4104" width="8.83203125" style="1434" customWidth="1"/>
    <col min="4105" max="4105" width="8.1640625" style="1434" customWidth="1"/>
    <col min="4106" max="4110" width="9.5" style="1434" customWidth="1"/>
    <col min="4111" max="4111" width="12.6640625" style="1434" customWidth="1"/>
    <col min="4112" max="4352" width="9.33203125" style="1434"/>
    <col min="4353" max="4353" width="4.83203125" style="1434" customWidth="1"/>
    <col min="4354" max="4354" width="31.1640625" style="1434" customWidth="1"/>
    <col min="4355" max="4356" width="9" style="1434" customWidth="1"/>
    <col min="4357" max="4357" width="9.5" style="1434" customWidth="1"/>
    <col min="4358" max="4358" width="8.83203125" style="1434" customWidth="1"/>
    <col min="4359" max="4359" width="8.6640625" style="1434" customWidth="1"/>
    <col min="4360" max="4360" width="8.83203125" style="1434" customWidth="1"/>
    <col min="4361" max="4361" width="8.1640625" style="1434" customWidth="1"/>
    <col min="4362" max="4366" width="9.5" style="1434" customWidth="1"/>
    <col min="4367" max="4367" width="12.6640625" style="1434" customWidth="1"/>
    <col min="4368" max="4608" width="9.33203125" style="1434"/>
    <col min="4609" max="4609" width="4.83203125" style="1434" customWidth="1"/>
    <col min="4610" max="4610" width="31.1640625" style="1434" customWidth="1"/>
    <col min="4611" max="4612" width="9" style="1434" customWidth="1"/>
    <col min="4613" max="4613" width="9.5" style="1434" customWidth="1"/>
    <col min="4614" max="4614" width="8.83203125" style="1434" customWidth="1"/>
    <col min="4615" max="4615" width="8.6640625" style="1434" customWidth="1"/>
    <col min="4616" max="4616" width="8.83203125" style="1434" customWidth="1"/>
    <col min="4617" max="4617" width="8.1640625" style="1434" customWidth="1"/>
    <col min="4618" max="4622" width="9.5" style="1434" customWidth="1"/>
    <col min="4623" max="4623" width="12.6640625" style="1434" customWidth="1"/>
    <col min="4624" max="4864" width="9.33203125" style="1434"/>
    <col min="4865" max="4865" width="4.83203125" style="1434" customWidth="1"/>
    <col min="4866" max="4866" width="31.1640625" style="1434" customWidth="1"/>
    <col min="4867" max="4868" width="9" style="1434" customWidth="1"/>
    <col min="4869" max="4869" width="9.5" style="1434" customWidth="1"/>
    <col min="4870" max="4870" width="8.83203125" style="1434" customWidth="1"/>
    <col min="4871" max="4871" width="8.6640625" style="1434" customWidth="1"/>
    <col min="4872" max="4872" width="8.83203125" style="1434" customWidth="1"/>
    <col min="4873" max="4873" width="8.1640625" style="1434" customWidth="1"/>
    <col min="4874" max="4878" width="9.5" style="1434" customWidth="1"/>
    <col min="4879" max="4879" width="12.6640625" style="1434" customWidth="1"/>
    <col min="4880" max="5120" width="9.33203125" style="1434"/>
    <col min="5121" max="5121" width="4.83203125" style="1434" customWidth="1"/>
    <col min="5122" max="5122" width="31.1640625" style="1434" customWidth="1"/>
    <col min="5123" max="5124" width="9" style="1434" customWidth="1"/>
    <col min="5125" max="5125" width="9.5" style="1434" customWidth="1"/>
    <col min="5126" max="5126" width="8.83203125" style="1434" customWidth="1"/>
    <col min="5127" max="5127" width="8.6640625" style="1434" customWidth="1"/>
    <col min="5128" max="5128" width="8.83203125" style="1434" customWidth="1"/>
    <col min="5129" max="5129" width="8.1640625" style="1434" customWidth="1"/>
    <col min="5130" max="5134" width="9.5" style="1434" customWidth="1"/>
    <col min="5135" max="5135" width="12.6640625" style="1434" customWidth="1"/>
    <col min="5136" max="5376" width="9.33203125" style="1434"/>
    <col min="5377" max="5377" width="4.83203125" style="1434" customWidth="1"/>
    <col min="5378" max="5378" width="31.1640625" style="1434" customWidth="1"/>
    <col min="5379" max="5380" width="9" style="1434" customWidth="1"/>
    <col min="5381" max="5381" width="9.5" style="1434" customWidth="1"/>
    <col min="5382" max="5382" width="8.83203125" style="1434" customWidth="1"/>
    <col min="5383" max="5383" width="8.6640625" style="1434" customWidth="1"/>
    <col min="5384" max="5384" width="8.83203125" style="1434" customWidth="1"/>
    <col min="5385" max="5385" width="8.1640625" style="1434" customWidth="1"/>
    <col min="5386" max="5390" width="9.5" style="1434" customWidth="1"/>
    <col min="5391" max="5391" width="12.6640625" style="1434" customWidth="1"/>
    <col min="5392" max="5632" width="9.33203125" style="1434"/>
    <col min="5633" max="5633" width="4.83203125" style="1434" customWidth="1"/>
    <col min="5634" max="5634" width="31.1640625" style="1434" customWidth="1"/>
    <col min="5635" max="5636" width="9" style="1434" customWidth="1"/>
    <col min="5637" max="5637" width="9.5" style="1434" customWidth="1"/>
    <col min="5638" max="5638" width="8.83203125" style="1434" customWidth="1"/>
    <col min="5639" max="5639" width="8.6640625" style="1434" customWidth="1"/>
    <col min="5640" max="5640" width="8.83203125" style="1434" customWidth="1"/>
    <col min="5641" max="5641" width="8.1640625" style="1434" customWidth="1"/>
    <col min="5642" max="5646" width="9.5" style="1434" customWidth="1"/>
    <col min="5647" max="5647" width="12.6640625" style="1434" customWidth="1"/>
    <col min="5648" max="5888" width="9.33203125" style="1434"/>
    <col min="5889" max="5889" width="4.83203125" style="1434" customWidth="1"/>
    <col min="5890" max="5890" width="31.1640625" style="1434" customWidth="1"/>
    <col min="5891" max="5892" width="9" style="1434" customWidth="1"/>
    <col min="5893" max="5893" width="9.5" style="1434" customWidth="1"/>
    <col min="5894" max="5894" width="8.83203125" style="1434" customWidth="1"/>
    <col min="5895" max="5895" width="8.6640625" style="1434" customWidth="1"/>
    <col min="5896" max="5896" width="8.83203125" style="1434" customWidth="1"/>
    <col min="5897" max="5897" width="8.1640625" style="1434" customWidth="1"/>
    <col min="5898" max="5902" width="9.5" style="1434" customWidth="1"/>
    <col min="5903" max="5903" width="12.6640625" style="1434" customWidth="1"/>
    <col min="5904" max="6144" width="9.33203125" style="1434"/>
    <col min="6145" max="6145" width="4.83203125" style="1434" customWidth="1"/>
    <col min="6146" max="6146" width="31.1640625" style="1434" customWidth="1"/>
    <col min="6147" max="6148" width="9" style="1434" customWidth="1"/>
    <col min="6149" max="6149" width="9.5" style="1434" customWidth="1"/>
    <col min="6150" max="6150" width="8.83203125" style="1434" customWidth="1"/>
    <col min="6151" max="6151" width="8.6640625" style="1434" customWidth="1"/>
    <col min="6152" max="6152" width="8.83203125" style="1434" customWidth="1"/>
    <col min="6153" max="6153" width="8.1640625" style="1434" customWidth="1"/>
    <col min="6154" max="6158" width="9.5" style="1434" customWidth="1"/>
    <col min="6159" max="6159" width="12.6640625" style="1434" customWidth="1"/>
    <col min="6160" max="6400" width="9.33203125" style="1434"/>
    <col min="6401" max="6401" width="4.83203125" style="1434" customWidth="1"/>
    <col min="6402" max="6402" width="31.1640625" style="1434" customWidth="1"/>
    <col min="6403" max="6404" width="9" style="1434" customWidth="1"/>
    <col min="6405" max="6405" width="9.5" style="1434" customWidth="1"/>
    <col min="6406" max="6406" width="8.83203125" style="1434" customWidth="1"/>
    <col min="6407" max="6407" width="8.6640625" style="1434" customWidth="1"/>
    <col min="6408" max="6408" width="8.83203125" style="1434" customWidth="1"/>
    <col min="6409" max="6409" width="8.1640625" style="1434" customWidth="1"/>
    <col min="6410" max="6414" width="9.5" style="1434" customWidth="1"/>
    <col min="6415" max="6415" width="12.6640625" style="1434" customWidth="1"/>
    <col min="6416" max="6656" width="9.33203125" style="1434"/>
    <col min="6657" max="6657" width="4.83203125" style="1434" customWidth="1"/>
    <col min="6658" max="6658" width="31.1640625" style="1434" customWidth="1"/>
    <col min="6659" max="6660" width="9" style="1434" customWidth="1"/>
    <col min="6661" max="6661" width="9.5" style="1434" customWidth="1"/>
    <col min="6662" max="6662" width="8.83203125" style="1434" customWidth="1"/>
    <col min="6663" max="6663" width="8.6640625" style="1434" customWidth="1"/>
    <col min="6664" max="6664" width="8.83203125" style="1434" customWidth="1"/>
    <col min="6665" max="6665" width="8.1640625" style="1434" customWidth="1"/>
    <col min="6666" max="6670" width="9.5" style="1434" customWidth="1"/>
    <col min="6671" max="6671" width="12.6640625" style="1434" customWidth="1"/>
    <col min="6672" max="6912" width="9.33203125" style="1434"/>
    <col min="6913" max="6913" width="4.83203125" style="1434" customWidth="1"/>
    <col min="6914" max="6914" width="31.1640625" style="1434" customWidth="1"/>
    <col min="6915" max="6916" width="9" style="1434" customWidth="1"/>
    <col min="6917" max="6917" width="9.5" style="1434" customWidth="1"/>
    <col min="6918" max="6918" width="8.83203125" style="1434" customWidth="1"/>
    <col min="6919" max="6919" width="8.6640625" style="1434" customWidth="1"/>
    <col min="6920" max="6920" width="8.83203125" style="1434" customWidth="1"/>
    <col min="6921" max="6921" width="8.1640625" style="1434" customWidth="1"/>
    <col min="6922" max="6926" width="9.5" style="1434" customWidth="1"/>
    <col min="6927" max="6927" width="12.6640625" style="1434" customWidth="1"/>
    <col min="6928" max="7168" width="9.33203125" style="1434"/>
    <col min="7169" max="7169" width="4.83203125" style="1434" customWidth="1"/>
    <col min="7170" max="7170" width="31.1640625" style="1434" customWidth="1"/>
    <col min="7171" max="7172" width="9" style="1434" customWidth="1"/>
    <col min="7173" max="7173" width="9.5" style="1434" customWidth="1"/>
    <col min="7174" max="7174" width="8.83203125" style="1434" customWidth="1"/>
    <col min="7175" max="7175" width="8.6640625" style="1434" customWidth="1"/>
    <col min="7176" max="7176" width="8.83203125" style="1434" customWidth="1"/>
    <col min="7177" max="7177" width="8.1640625" style="1434" customWidth="1"/>
    <col min="7178" max="7182" width="9.5" style="1434" customWidth="1"/>
    <col min="7183" max="7183" width="12.6640625" style="1434" customWidth="1"/>
    <col min="7184" max="7424" width="9.33203125" style="1434"/>
    <col min="7425" max="7425" width="4.83203125" style="1434" customWidth="1"/>
    <col min="7426" max="7426" width="31.1640625" style="1434" customWidth="1"/>
    <col min="7427" max="7428" width="9" style="1434" customWidth="1"/>
    <col min="7429" max="7429" width="9.5" style="1434" customWidth="1"/>
    <col min="7430" max="7430" width="8.83203125" style="1434" customWidth="1"/>
    <col min="7431" max="7431" width="8.6640625" style="1434" customWidth="1"/>
    <col min="7432" max="7432" width="8.83203125" style="1434" customWidth="1"/>
    <col min="7433" max="7433" width="8.1640625" style="1434" customWidth="1"/>
    <col min="7434" max="7438" width="9.5" style="1434" customWidth="1"/>
    <col min="7439" max="7439" width="12.6640625" style="1434" customWidth="1"/>
    <col min="7440" max="7680" width="9.33203125" style="1434"/>
    <col min="7681" max="7681" width="4.83203125" style="1434" customWidth="1"/>
    <col min="7682" max="7682" width="31.1640625" style="1434" customWidth="1"/>
    <col min="7683" max="7684" width="9" style="1434" customWidth="1"/>
    <col min="7685" max="7685" width="9.5" style="1434" customWidth="1"/>
    <col min="7686" max="7686" width="8.83203125" style="1434" customWidth="1"/>
    <col min="7687" max="7687" width="8.6640625" style="1434" customWidth="1"/>
    <col min="7688" max="7688" width="8.83203125" style="1434" customWidth="1"/>
    <col min="7689" max="7689" width="8.1640625" style="1434" customWidth="1"/>
    <col min="7690" max="7694" width="9.5" style="1434" customWidth="1"/>
    <col min="7695" max="7695" width="12.6640625" style="1434" customWidth="1"/>
    <col min="7696" max="7936" width="9.33203125" style="1434"/>
    <col min="7937" max="7937" width="4.83203125" style="1434" customWidth="1"/>
    <col min="7938" max="7938" width="31.1640625" style="1434" customWidth="1"/>
    <col min="7939" max="7940" width="9" style="1434" customWidth="1"/>
    <col min="7941" max="7941" width="9.5" style="1434" customWidth="1"/>
    <col min="7942" max="7942" width="8.83203125" style="1434" customWidth="1"/>
    <col min="7943" max="7943" width="8.6640625" style="1434" customWidth="1"/>
    <col min="7944" max="7944" width="8.83203125" style="1434" customWidth="1"/>
    <col min="7945" max="7945" width="8.1640625" style="1434" customWidth="1"/>
    <col min="7946" max="7950" width="9.5" style="1434" customWidth="1"/>
    <col min="7951" max="7951" width="12.6640625" style="1434" customWidth="1"/>
    <col min="7952" max="8192" width="9.33203125" style="1434"/>
    <col min="8193" max="8193" width="4.83203125" style="1434" customWidth="1"/>
    <col min="8194" max="8194" width="31.1640625" style="1434" customWidth="1"/>
    <col min="8195" max="8196" width="9" style="1434" customWidth="1"/>
    <col min="8197" max="8197" width="9.5" style="1434" customWidth="1"/>
    <col min="8198" max="8198" width="8.83203125" style="1434" customWidth="1"/>
    <col min="8199" max="8199" width="8.6640625" style="1434" customWidth="1"/>
    <col min="8200" max="8200" width="8.83203125" style="1434" customWidth="1"/>
    <col min="8201" max="8201" width="8.1640625" style="1434" customWidth="1"/>
    <col min="8202" max="8206" width="9.5" style="1434" customWidth="1"/>
    <col min="8207" max="8207" width="12.6640625" style="1434" customWidth="1"/>
    <col min="8208" max="8448" width="9.33203125" style="1434"/>
    <col min="8449" max="8449" width="4.83203125" style="1434" customWidth="1"/>
    <col min="8450" max="8450" width="31.1640625" style="1434" customWidth="1"/>
    <col min="8451" max="8452" width="9" style="1434" customWidth="1"/>
    <col min="8453" max="8453" width="9.5" style="1434" customWidth="1"/>
    <col min="8454" max="8454" width="8.83203125" style="1434" customWidth="1"/>
    <col min="8455" max="8455" width="8.6640625" style="1434" customWidth="1"/>
    <col min="8456" max="8456" width="8.83203125" style="1434" customWidth="1"/>
    <col min="8457" max="8457" width="8.1640625" style="1434" customWidth="1"/>
    <col min="8458" max="8462" width="9.5" style="1434" customWidth="1"/>
    <col min="8463" max="8463" width="12.6640625" style="1434" customWidth="1"/>
    <col min="8464" max="8704" width="9.33203125" style="1434"/>
    <col min="8705" max="8705" width="4.83203125" style="1434" customWidth="1"/>
    <col min="8706" max="8706" width="31.1640625" style="1434" customWidth="1"/>
    <col min="8707" max="8708" width="9" style="1434" customWidth="1"/>
    <col min="8709" max="8709" width="9.5" style="1434" customWidth="1"/>
    <col min="8710" max="8710" width="8.83203125" style="1434" customWidth="1"/>
    <col min="8711" max="8711" width="8.6640625" style="1434" customWidth="1"/>
    <col min="8712" max="8712" width="8.83203125" style="1434" customWidth="1"/>
    <col min="8713" max="8713" width="8.1640625" style="1434" customWidth="1"/>
    <col min="8714" max="8718" width="9.5" style="1434" customWidth="1"/>
    <col min="8719" max="8719" width="12.6640625" style="1434" customWidth="1"/>
    <col min="8720" max="8960" width="9.33203125" style="1434"/>
    <col min="8961" max="8961" width="4.83203125" style="1434" customWidth="1"/>
    <col min="8962" max="8962" width="31.1640625" style="1434" customWidth="1"/>
    <col min="8963" max="8964" width="9" style="1434" customWidth="1"/>
    <col min="8965" max="8965" width="9.5" style="1434" customWidth="1"/>
    <col min="8966" max="8966" width="8.83203125" style="1434" customWidth="1"/>
    <col min="8967" max="8967" width="8.6640625" style="1434" customWidth="1"/>
    <col min="8968" max="8968" width="8.83203125" style="1434" customWidth="1"/>
    <col min="8969" max="8969" width="8.1640625" style="1434" customWidth="1"/>
    <col min="8970" max="8974" width="9.5" style="1434" customWidth="1"/>
    <col min="8975" max="8975" width="12.6640625" style="1434" customWidth="1"/>
    <col min="8976" max="9216" width="9.33203125" style="1434"/>
    <col min="9217" max="9217" width="4.83203125" style="1434" customWidth="1"/>
    <col min="9218" max="9218" width="31.1640625" style="1434" customWidth="1"/>
    <col min="9219" max="9220" width="9" style="1434" customWidth="1"/>
    <col min="9221" max="9221" width="9.5" style="1434" customWidth="1"/>
    <col min="9222" max="9222" width="8.83203125" style="1434" customWidth="1"/>
    <col min="9223" max="9223" width="8.6640625" style="1434" customWidth="1"/>
    <col min="9224" max="9224" width="8.83203125" style="1434" customWidth="1"/>
    <col min="9225" max="9225" width="8.1640625" style="1434" customWidth="1"/>
    <col min="9226" max="9230" width="9.5" style="1434" customWidth="1"/>
    <col min="9231" max="9231" width="12.6640625" style="1434" customWidth="1"/>
    <col min="9232" max="9472" width="9.33203125" style="1434"/>
    <col min="9473" max="9473" width="4.83203125" style="1434" customWidth="1"/>
    <col min="9474" max="9474" width="31.1640625" style="1434" customWidth="1"/>
    <col min="9475" max="9476" width="9" style="1434" customWidth="1"/>
    <col min="9477" max="9477" width="9.5" style="1434" customWidth="1"/>
    <col min="9478" max="9478" width="8.83203125" style="1434" customWidth="1"/>
    <col min="9479" max="9479" width="8.6640625" style="1434" customWidth="1"/>
    <col min="9480" max="9480" width="8.83203125" style="1434" customWidth="1"/>
    <col min="9481" max="9481" width="8.1640625" style="1434" customWidth="1"/>
    <col min="9482" max="9486" width="9.5" style="1434" customWidth="1"/>
    <col min="9487" max="9487" width="12.6640625" style="1434" customWidth="1"/>
    <col min="9488" max="9728" width="9.33203125" style="1434"/>
    <col min="9729" max="9729" width="4.83203125" style="1434" customWidth="1"/>
    <col min="9730" max="9730" width="31.1640625" style="1434" customWidth="1"/>
    <col min="9731" max="9732" width="9" style="1434" customWidth="1"/>
    <col min="9733" max="9733" width="9.5" style="1434" customWidth="1"/>
    <col min="9734" max="9734" width="8.83203125" style="1434" customWidth="1"/>
    <col min="9735" max="9735" width="8.6640625" style="1434" customWidth="1"/>
    <col min="9736" max="9736" width="8.83203125" style="1434" customWidth="1"/>
    <col min="9737" max="9737" width="8.1640625" style="1434" customWidth="1"/>
    <col min="9738" max="9742" width="9.5" style="1434" customWidth="1"/>
    <col min="9743" max="9743" width="12.6640625" style="1434" customWidth="1"/>
    <col min="9744" max="9984" width="9.33203125" style="1434"/>
    <col min="9985" max="9985" width="4.83203125" style="1434" customWidth="1"/>
    <col min="9986" max="9986" width="31.1640625" style="1434" customWidth="1"/>
    <col min="9987" max="9988" width="9" style="1434" customWidth="1"/>
    <col min="9989" max="9989" width="9.5" style="1434" customWidth="1"/>
    <col min="9990" max="9990" width="8.83203125" style="1434" customWidth="1"/>
    <col min="9991" max="9991" width="8.6640625" style="1434" customWidth="1"/>
    <col min="9992" max="9992" width="8.83203125" style="1434" customWidth="1"/>
    <col min="9993" max="9993" width="8.1640625" style="1434" customWidth="1"/>
    <col min="9994" max="9998" width="9.5" style="1434" customWidth="1"/>
    <col min="9999" max="9999" width="12.6640625" style="1434" customWidth="1"/>
    <col min="10000" max="10240" width="9.33203125" style="1434"/>
    <col min="10241" max="10241" width="4.83203125" style="1434" customWidth="1"/>
    <col min="10242" max="10242" width="31.1640625" style="1434" customWidth="1"/>
    <col min="10243" max="10244" width="9" style="1434" customWidth="1"/>
    <col min="10245" max="10245" width="9.5" style="1434" customWidth="1"/>
    <col min="10246" max="10246" width="8.83203125" style="1434" customWidth="1"/>
    <col min="10247" max="10247" width="8.6640625" style="1434" customWidth="1"/>
    <col min="10248" max="10248" width="8.83203125" style="1434" customWidth="1"/>
    <col min="10249" max="10249" width="8.1640625" style="1434" customWidth="1"/>
    <col min="10250" max="10254" width="9.5" style="1434" customWidth="1"/>
    <col min="10255" max="10255" width="12.6640625" style="1434" customWidth="1"/>
    <col min="10256" max="10496" width="9.33203125" style="1434"/>
    <col min="10497" max="10497" width="4.83203125" style="1434" customWidth="1"/>
    <col min="10498" max="10498" width="31.1640625" style="1434" customWidth="1"/>
    <col min="10499" max="10500" width="9" style="1434" customWidth="1"/>
    <col min="10501" max="10501" width="9.5" style="1434" customWidth="1"/>
    <col min="10502" max="10502" width="8.83203125" style="1434" customWidth="1"/>
    <col min="10503" max="10503" width="8.6640625" style="1434" customWidth="1"/>
    <col min="10504" max="10504" width="8.83203125" style="1434" customWidth="1"/>
    <col min="10505" max="10505" width="8.1640625" style="1434" customWidth="1"/>
    <col min="10506" max="10510" width="9.5" style="1434" customWidth="1"/>
    <col min="10511" max="10511" width="12.6640625" style="1434" customWidth="1"/>
    <col min="10512" max="10752" width="9.33203125" style="1434"/>
    <col min="10753" max="10753" width="4.83203125" style="1434" customWidth="1"/>
    <col min="10754" max="10754" width="31.1640625" style="1434" customWidth="1"/>
    <col min="10755" max="10756" width="9" style="1434" customWidth="1"/>
    <col min="10757" max="10757" width="9.5" style="1434" customWidth="1"/>
    <col min="10758" max="10758" width="8.83203125" style="1434" customWidth="1"/>
    <col min="10759" max="10759" width="8.6640625" style="1434" customWidth="1"/>
    <col min="10760" max="10760" width="8.83203125" style="1434" customWidth="1"/>
    <col min="10761" max="10761" width="8.1640625" style="1434" customWidth="1"/>
    <col min="10762" max="10766" width="9.5" style="1434" customWidth="1"/>
    <col min="10767" max="10767" width="12.6640625" style="1434" customWidth="1"/>
    <col min="10768" max="11008" width="9.33203125" style="1434"/>
    <col min="11009" max="11009" width="4.83203125" style="1434" customWidth="1"/>
    <col min="11010" max="11010" width="31.1640625" style="1434" customWidth="1"/>
    <col min="11011" max="11012" width="9" style="1434" customWidth="1"/>
    <col min="11013" max="11013" width="9.5" style="1434" customWidth="1"/>
    <col min="11014" max="11014" width="8.83203125" style="1434" customWidth="1"/>
    <col min="11015" max="11015" width="8.6640625" style="1434" customWidth="1"/>
    <col min="11016" max="11016" width="8.83203125" style="1434" customWidth="1"/>
    <col min="11017" max="11017" width="8.1640625" style="1434" customWidth="1"/>
    <col min="11018" max="11022" width="9.5" style="1434" customWidth="1"/>
    <col min="11023" max="11023" width="12.6640625" style="1434" customWidth="1"/>
    <col min="11024" max="11264" width="9.33203125" style="1434"/>
    <col min="11265" max="11265" width="4.83203125" style="1434" customWidth="1"/>
    <col min="11266" max="11266" width="31.1640625" style="1434" customWidth="1"/>
    <col min="11267" max="11268" width="9" style="1434" customWidth="1"/>
    <col min="11269" max="11269" width="9.5" style="1434" customWidth="1"/>
    <col min="11270" max="11270" width="8.83203125" style="1434" customWidth="1"/>
    <col min="11271" max="11271" width="8.6640625" style="1434" customWidth="1"/>
    <col min="11272" max="11272" width="8.83203125" style="1434" customWidth="1"/>
    <col min="11273" max="11273" width="8.1640625" style="1434" customWidth="1"/>
    <col min="11274" max="11278" width="9.5" style="1434" customWidth="1"/>
    <col min="11279" max="11279" width="12.6640625" style="1434" customWidth="1"/>
    <col min="11280" max="11520" width="9.33203125" style="1434"/>
    <col min="11521" max="11521" width="4.83203125" style="1434" customWidth="1"/>
    <col min="11522" max="11522" width="31.1640625" style="1434" customWidth="1"/>
    <col min="11523" max="11524" width="9" style="1434" customWidth="1"/>
    <col min="11525" max="11525" width="9.5" style="1434" customWidth="1"/>
    <col min="11526" max="11526" width="8.83203125" style="1434" customWidth="1"/>
    <col min="11527" max="11527" width="8.6640625" style="1434" customWidth="1"/>
    <col min="11528" max="11528" width="8.83203125" style="1434" customWidth="1"/>
    <col min="11529" max="11529" width="8.1640625" style="1434" customWidth="1"/>
    <col min="11530" max="11534" width="9.5" style="1434" customWidth="1"/>
    <col min="11535" max="11535" width="12.6640625" style="1434" customWidth="1"/>
    <col min="11536" max="11776" width="9.33203125" style="1434"/>
    <col min="11777" max="11777" width="4.83203125" style="1434" customWidth="1"/>
    <col min="11778" max="11778" width="31.1640625" style="1434" customWidth="1"/>
    <col min="11779" max="11780" width="9" style="1434" customWidth="1"/>
    <col min="11781" max="11781" width="9.5" style="1434" customWidth="1"/>
    <col min="11782" max="11782" width="8.83203125" style="1434" customWidth="1"/>
    <col min="11783" max="11783" width="8.6640625" style="1434" customWidth="1"/>
    <col min="11784" max="11784" width="8.83203125" style="1434" customWidth="1"/>
    <col min="11785" max="11785" width="8.1640625" style="1434" customWidth="1"/>
    <col min="11786" max="11790" width="9.5" style="1434" customWidth="1"/>
    <col min="11791" max="11791" width="12.6640625" style="1434" customWidth="1"/>
    <col min="11792" max="12032" width="9.33203125" style="1434"/>
    <col min="12033" max="12033" width="4.83203125" style="1434" customWidth="1"/>
    <col min="12034" max="12034" width="31.1640625" style="1434" customWidth="1"/>
    <col min="12035" max="12036" width="9" style="1434" customWidth="1"/>
    <col min="12037" max="12037" width="9.5" style="1434" customWidth="1"/>
    <col min="12038" max="12038" width="8.83203125" style="1434" customWidth="1"/>
    <col min="12039" max="12039" width="8.6640625" style="1434" customWidth="1"/>
    <col min="12040" max="12040" width="8.83203125" style="1434" customWidth="1"/>
    <col min="12041" max="12041" width="8.1640625" style="1434" customWidth="1"/>
    <col min="12042" max="12046" width="9.5" style="1434" customWidth="1"/>
    <col min="12047" max="12047" width="12.6640625" style="1434" customWidth="1"/>
    <col min="12048" max="12288" width="9.33203125" style="1434"/>
    <col min="12289" max="12289" width="4.83203125" style="1434" customWidth="1"/>
    <col min="12290" max="12290" width="31.1640625" style="1434" customWidth="1"/>
    <col min="12291" max="12292" width="9" style="1434" customWidth="1"/>
    <col min="12293" max="12293" width="9.5" style="1434" customWidth="1"/>
    <col min="12294" max="12294" width="8.83203125" style="1434" customWidth="1"/>
    <col min="12295" max="12295" width="8.6640625" style="1434" customWidth="1"/>
    <col min="12296" max="12296" width="8.83203125" style="1434" customWidth="1"/>
    <col min="12297" max="12297" width="8.1640625" style="1434" customWidth="1"/>
    <col min="12298" max="12302" width="9.5" style="1434" customWidth="1"/>
    <col min="12303" max="12303" width="12.6640625" style="1434" customWidth="1"/>
    <col min="12304" max="12544" width="9.33203125" style="1434"/>
    <col min="12545" max="12545" width="4.83203125" style="1434" customWidth="1"/>
    <col min="12546" max="12546" width="31.1640625" style="1434" customWidth="1"/>
    <col min="12547" max="12548" width="9" style="1434" customWidth="1"/>
    <col min="12549" max="12549" width="9.5" style="1434" customWidth="1"/>
    <col min="12550" max="12550" width="8.83203125" style="1434" customWidth="1"/>
    <col min="12551" max="12551" width="8.6640625" style="1434" customWidth="1"/>
    <col min="12552" max="12552" width="8.83203125" style="1434" customWidth="1"/>
    <col min="12553" max="12553" width="8.1640625" style="1434" customWidth="1"/>
    <col min="12554" max="12558" width="9.5" style="1434" customWidth="1"/>
    <col min="12559" max="12559" width="12.6640625" style="1434" customWidth="1"/>
    <col min="12560" max="12800" width="9.33203125" style="1434"/>
    <col min="12801" max="12801" width="4.83203125" style="1434" customWidth="1"/>
    <col min="12802" max="12802" width="31.1640625" style="1434" customWidth="1"/>
    <col min="12803" max="12804" width="9" style="1434" customWidth="1"/>
    <col min="12805" max="12805" width="9.5" style="1434" customWidth="1"/>
    <col min="12806" max="12806" width="8.83203125" style="1434" customWidth="1"/>
    <col min="12807" max="12807" width="8.6640625" style="1434" customWidth="1"/>
    <col min="12808" max="12808" width="8.83203125" style="1434" customWidth="1"/>
    <col min="12809" max="12809" width="8.1640625" style="1434" customWidth="1"/>
    <col min="12810" max="12814" width="9.5" style="1434" customWidth="1"/>
    <col min="12815" max="12815" width="12.6640625" style="1434" customWidth="1"/>
    <col min="12816" max="13056" width="9.33203125" style="1434"/>
    <col min="13057" max="13057" width="4.83203125" style="1434" customWidth="1"/>
    <col min="13058" max="13058" width="31.1640625" style="1434" customWidth="1"/>
    <col min="13059" max="13060" width="9" style="1434" customWidth="1"/>
    <col min="13061" max="13061" width="9.5" style="1434" customWidth="1"/>
    <col min="13062" max="13062" width="8.83203125" style="1434" customWidth="1"/>
    <col min="13063" max="13063" width="8.6640625" style="1434" customWidth="1"/>
    <col min="13064" max="13064" width="8.83203125" style="1434" customWidth="1"/>
    <col min="13065" max="13065" width="8.1640625" style="1434" customWidth="1"/>
    <col min="13066" max="13070" width="9.5" style="1434" customWidth="1"/>
    <col min="13071" max="13071" width="12.6640625" style="1434" customWidth="1"/>
    <col min="13072" max="13312" width="9.33203125" style="1434"/>
    <col min="13313" max="13313" width="4.83203125" style="1434" customWidth="1"/>
    <col min="13314" max="13314" width="31.1640625" style="1434" customWidth="1"/>
    <col min="13315" max="13316" width="9" style="1434" customWidth="1"/>
    <col min="13317" max="13317" width="9.5" style="1434" customWidth="1"/>
    <col min="13318" max="13318" width="8.83203125" style="1434" customWidth="1"/>
    <col min="13319" max="13319" width="8.6640625" style="1434" customWidth="1"/>
    <col min="13320" max="13320" width="8.83203125" style="1434" customWidth="1"/>
    <col min="13321" max="13321" width="8.1640625" style="1434" customWidth="1"/>
    <col min="13322" max="13326" width="9.5" style="1434" customWidth="1"/>
    <col min="13327" max="13327" width="12.6640625" style="1434" customWidth="1"/>
    <col min="13328" max="13568" width="9.33203125" style="1434"/>
    <col min="13569" max="13569" width="4.83203125" style="1434" customWidth="1"/>
    <col min="13570" max="13570" width="31.1640625" style="1434" customWidth="1"/>
    <col min="13571" max="13572" width="9" style="1434" customWidth="1"/>
    <col min="13573" max="13573" width="9.5" style="1434" customWidth="1"/>
    <col min="13574" max="13574" width="8.83203125" style="1434" customWidth="1"/>
    <col min="13575" max="13575" width="8.6640625" style="1434" customWidth="1"/>
    <col min="13576" max="13576" width="8.83203125" style="1434" customWidth="1"/>
    <col min="13577" max="13577" width="8.1640625" style="1434" customWidth="1"/>
    <col min="13578" max="13582" width="9.5" style="1434" customWidth="1"/>
    <col min="13583" max="13583" width="12.6640625" style="1434" customWidth="1"/>
    <col min="13584" max="13824" width="9.33203125" style="1434"/>
    <col min="13825" max="13825" width="4.83203125" style="1434" customWidth="1"/>
    <col min="13826" max="13826" width="31.1640625" style="1434" customWidth="1"/>
    <col min="13827" max="13828" width="9" style="1434" customWidth="1"/>
    <col min="13829" max="13829" width="9.5" style="1434" customWidth="1"/>
    <col min="13830" max="13830" width="8.83203125" style="1434" customWidth="1"/>
    <col min="13831" max="13831" width="8.6640625" style="1434" customWidth="1"/>
    <col min="13832" max="13832" width="8.83203125" style="1434" customWidth="1"/>
    <col min="13833" max="13833" width="8.1640625" style="1434" customWidth="1"/>
    <col min="13834" max="13838" width="9.5" style="1434" customWidth="1"/>
    <col min="13839" max="13839" width="12.6640625" style="1434" customWidth="1"/>
    <col min="13840" max="14080" width="9.33203125" style="1434"/>
    <col min="14081" max="14081" width="4.83203125" style="1434" customWidth="1"/>
    <col min="14082" max="14082" width="31.1640625" style="1434" customWidth="1"/>
    <col min="14083" max="14084" width="9" style="1434" customWidth="1"/>
    <col min="14085" max="14085" width="9.5" style="1434" customWidth="1"/>
    <col min="14086" max="14086" width="8.83203125" style="1434" customWidth="1"/>
    <col min="14087" max="14087" width="8.6640625" style="1434" customWidth="1"/>
    <col min="14088" max="14088" width="8.83203125" style="1434" customWidth="1"/>
    <col min="14089" max="14089" width="8.1640625" style="1434" customWidth="1"/>
    <col min="14090" max="14094" width="9.5" style="1434" customWidth="1"/>
    <col min="14095" max="14095" width="12.6640625" style="1434" customWidth="1"/>
    <col min="14096" max="14336" width="9.33203125" style="1434"/>
    <col min="14337" max="14337" width="4.83203125" style="1434" customWidth="1"/>
    <col min="14338" max="14338" width="31.1640625" style="1434" customWidth="1"/>
    <col min="14339" max="14340" width="9" style="1434" customWidth="1"/>
    <col min="14341" max="14341" width="9.5" style="1434" customWidth="1"/>
    <col min="14342" max="14342" width="8.83203125" style="1434" customWidth="1"/>
    <col min="14343" max="14343" width="8.6640625" style="1434" customWidth="1"/>
    <col min="14344" max="14344" width="8.83203125" style="1434" customWidth="1"/>
    <col min="14345" max="14345" width="8.1640625" style="1434" customWidth="1"/>
    <col min="14346" max="14350" width="9.5" style="1434" customWidth="1"/>
    <col min="14351" max="14351" width="12.6640625" style="1434" customWidth="1"/>
    <col min="14352" max="14592" width="9.33203125" style="1434"/>
    <col min="14593" max="14593" width="4.83203125" style="1434" customWidth="1"/>
    <col min="14594" max="14594" width="31.1640625" style="1434" customWidth="1"/>
    <col min="14595" max="14596" width="9" style="1434" customWidth="1"/>
    <col min="14597" max="14597" width="9.5" style="1434" customWidth="1"/>
    <col min="14598" max="14598" width="8.83203125" style="1434" customWidth="1"/>
    <col min="14599" max="14599" width="8.6640625" style="1434" customWidth="1"/>
    <col min="14600" max="14600" width="8.83203125" style="1434" customWidth="1"/>
    <col min="14601" max="14601" width="8.1640625" style="1434" customWidth="1"/>
    <col min="14602" max="14606" width="9.5" style="1434" customWidth="1"/>
    <col min="14607" max="14607" width="12.6640625" style="1434" customWidth="1"/>
    <col min="14608" max="14848" width="9.33203125" style="1434"/>
    <col min="14849" max="14849" width="4.83203125" style="1434" customWidth="1"/>
    <col min="14850" max="14850" width="31.1640625" style="1434" customWidth="1"/>
    <col min="14851" max="14852" width="9" style="1434" customWidth="1"/>
    <col min="14853" max="14853" width="9.5" style="1434" customWidth="1"/>
    <col min="14854" max="14854" width="8.83203125" style="1434" customWidth="1"/>
    <col min="14855" max="14855" width="8.6640625" style="1434" customWidth="1"/>
    <col min="14856" max="14856" width="8.83203125" style="1434" customWidth="1"/>
    <col min="14857" max="14857" width="8.1640625" style="1434" customWidth="1"/>
    <col min="14858" max="14862" width="9.5" style="1434" customWidth="1"/>
    <col min="14863" max="14863" width="12.6640625" style="1434" customWidth="1"/>
    <col min="14864" max="15104" width="9.33203125" style="1434"/>
    <col min="15105" max="15105" width="4.83203125" style="1434" customWidth="1"/>
    <col min="15106" max="15106" width="31.1640625" style="1434" customWidth="1"/>
    <col min="15107" max="15108" width="9" style="1434" customWidth="1"/>
    <col min="15109" max="15109" width="9.5" style="1434" customWidth="1"/>
    <col min="15110" max="15110" width="8.83203125" style="1434" customWidth="1"/>
    <col min="15111" max="15111" width="8.6640625" style="1434" customWidth="1"/>
    <col min="15112" max="15112" width="8.83203125" style="1434" customWidth="1"/>
    <col min="15113" max="15113" width="8.1640625" style="1434" customWidth="1"/>
    <col min="15114" max="15118" width="9.5" style="1434" customWidth="1"/>
    <col min="15119" max="15119" width="12.6640625" style="1434" customWidth="1"/>
    <col min="15120" max="15360" width="9.33203125" style="1434"/>
    <col min="15361" max="15361" width="4.83203125" style="1434" customWidth="1"/>
    <col min="15362" max="15362" width="31.1640625" style="1434" customWidth="1"/>
    <col min="15363" max="15364" width="9" style="1434" customWidth="1"/>
    <col min="15365" max="15365" width="9.5" style="1434" customWidth="1"/>
    <col min="15366" max="15366" width="8.83203125" style="1434" customWidth="1"/>
    <col min="15367" max="15367" width="8.6640625" style="1434" customWidth="1"/>
    <col min="15368" max="15368" width="8.83203125" style="1434" customWidth="1"/>
    <col min="15369" max="15369" width="8.1640625" style="1434" customWidth="1"/>
    <col min="15370" max="15374" width="9.5" style="1434" customWidth="1"/>
    <col min="15375" max="15375" width="12.6640625" style="1434" customWidth="1"/>
    <col min="15376" max="15616" width="9.33203125" style="1434"/>
    <col min="15617" max="15617" width="4.83203125" style="1434" customWidth="1"/>
    <col min="15618" max="15618" width="31.1640625" style="1434" customWidth="1"/>
    <col min="15619" max="15620" width="9" style="1434" customWidth="1"/>
    <col min="15621" max="15621" width="9.5" style="1434" customWidth="1"/>
    <col min="15622" max="15622" width="8.83203125" style="1434" customWidth="1"/>
    <col min="15623" max="15623" width="8.6640625" style="1434" customWidth="1"/>
    <col min="15624" max="15624" width="8.83203125" style="1434" customWidth="1"/>
    <col min="15625" max="15625" width="8.1640625" style="1434" customWidth="1"/>
    <col min="15626" max="15630" width="9.5" style="1434" customWidth="1"/>
    <col min="15631" max="15631" width="12.6640625" style="1434" customWidth="1"/>
    <col min="15632" max="15872" width="9.33203125" style="1434"/>
    <col min="15873" max="15873" width="4.83203125" style="1434" customWidth="1"/>
    <col min="15874" max="15874" width="31.1640625" style="1434" customWidth="1"/>
    <col min="15875" max="15876" width="9" style="1434" customWidth="1"/>
    <col min="15877" max="15877" width="9.5" style="1434" customWidth="1"/>
    <col min="15878" max="15878" width="8.83203125" style="1434" customWidth="1"/>
    <col min="15879" max="15879" width="8.6640625" style="1434" customWidth="1"/>
    <col min="15880" max="15880" width="8.83203125" style="1434" customWidth="1"/>
    <col min="15881" max="15881" width="8.1640625" style="1434" customWidth="1"/>
    <col min="15882" max="15886" width="9.5" style="1434" customWidth="1"/>
    <col min="15887" max="15887" width="12.6640625" style="1434" customWidth="1"/>
    <col min="15888" max="16128" width="9.33203125" style="1434"/>
    <col min="16129" max="16129" width="4.83203125" style="1434" customWidth="1"/>
    <col min="16130" max="16130" width="31.1640625" style="1434" customWidth="1"/>
    <col min="16131" max="16132" width="9" style="1434" customWidth="1"/>
    <col min="16133" max="16133" width="9.5" style="1434" customWidth="1"/>
    <col min="16134" max="16134" width="8.83203125" style="1434" customWidth="1"/>
    <col min="16135" max="16135" width="8.6640625" style="1434" customWidth="1"/>
    <col min="16136" max="16136" width="8.83203125" style="1434" customWidth="1"/>
    <col min="16137" max="16137" width="8.1640625" style="1434" customWidth="1"/>
    <col min="16138" max="16142" width="9.5" style="1434" customWidth="1"/>
    <col min="16143" max="16143" width="12.6640625" style="1434" customWidth="1"/>
    <col min="16144" max="16384" width="9.33203125" style="1434"/>
  </cols>
  <sheetData>
    <row r="1" spans="1:15" ht="31.5" customHeight="1" x14ac:dyDescent="0.25">
      <c r="A1" s="1627" t="s">
        <v>1832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  <c r="M1" s="1628"/>
      <c r="N1" s="1628"/>
      <c r="O1" s="1628"/>
    </row>
    <row r="2" spans="1:15" ht="16.5" thickBot="1" x14ac:dyDescent="0.3">
      <c r="O2" s="1436" t="s">
        <v>1833</v>
      </c>
    </row>
    <row r="3" spans="1:15" s="1435" customFormat="1" ht="26.1" customHeight="1" thickBot="1" x14ac:dyDescent="0.3">
      <c r="A3" s="1437" t="s">
        <v>862</v>
      </c>
      <c r="B3" s="1438" t="s">
        <v>83</v>
      </c>
      <c r="C3" s="1438" t="s">
        <v>942</v>
      </c>
      <c r="D3" s="1438" t="s">
        <v>943</v>
      </c>
      <c r="E3" s="1438" t="s">
        <v>944</v>
      </c>
      <c r="F3" s="1438" t="s">
        <v>945</v>
      </c>
      <c r="G3" s="1438" t="s">
        <v>946</v>
      </c>
      <c r="H3" s="1438" t="s">
        <v>947</v>
      </c>
      <c r="I3" s="1438" t="s">
        <v>948</v>
      </c>
      <c r="J3" s="1438" t="s">
        <v>949</v>
      </c>
      <c r="K3" s="1438" t="s">
        <v>950</v>
      </c>
      <c r="L3" s="1438" t="s">
        <v>951</v>
      </c>
      <c r="M3" s="1438" t="s">
        <v>952</v>
      </c>
      <c r="N3" s="1438" t="s">
        <v>953</v>
      </c>
      <c r="O3" s="1439" t="s">
        <v>920</v>
      </c>
    </row>
    <row r="4" spans="1:15" s="1441" customFormat="1" ht="15" customHeight="1" thickBot="1" x14ac:dyDescent="0.25">
      <c r="A4" s="1440" t="s">
        <v>2</v>
      </c>
      <c r="B4" s="1629" t="s">
        <v>81</v>
      </c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1"/>
    </row>
    <row r="5" spans="1:15" s="1441" customFormat="1" ht="22.5" x14ac:dyDescent="0.2">
      <c r="A5" s="1442" t="s">
        <v>3</v>
      </c>
      <c r="B5" s="1443" t="s">
        <v>1834</v>
      </c>
      <c r="C5" s="1444">
        <v>82610</v>
      </c>
      <c r="D5" s="1444">
        <v>82610</v>
      </c>
      <c r="E5" s="1444">
        <v>82610</v>
      </c>
      <c r="F5" s="1444">
        <v>82610</v>
      </c>
      <c r="G5" s="1444">
        <v>82610</v>
      </c>
      <c r="H5" s="1444">
        <v>82610</v>
      </c>
      <c r="I5" s="1444">
        <v>82610</v>
      </c>
      <c r="J5" s="1444">
        <v>82610</v>
      </c>
      <c r="K5" s="1444">
        <v>82610</v>
      </c>
      <c r="L5" s="1444">
        <v>82610</v>
      </c>
      <c r="M5" s="1444">
        <v>82610</v>
      </c>
      <c r="N5" s="1444">
        <v>82610</v>
      </c>
      <c r="O5" s="1445">
        <f t="shared" ref="O5:O24" si="0">SUM(C5:N5)</f>
        <v>991320</v>
      </c>
    </row>
    <row r="6" spans="1:15" s="1446" customFormat="1" ht="22.5" x14ac:dyDescent="0.2">
      <c r="A6" s="1442" t="s">
        <v>12</v>
      </c>
      <c r="B6" s="1447" t="s">
        <v>1835</v>
      </c>
      <c r="C6" s="1448"/>
      <c r="D6" s="1448"/>
      <c r="E6" s="1448"/>
      <c r="F6" s="1448"/>
      <c r="G6" s="1448"/>
      <c r="H6" s="1448"/>
      <c r="I6" s="1448"/>
      <c r="J6" s="1448"/>
      <c r="K6" s="1448"/>
      <c r="L6" s="1448"/>
      <c r="M6" s="1448"/>
      <c r="N6" s="1448"/>
      <c r="O6" s="1449">
        <f t="shared" si="0"/>
        <v>0</v>
      </c>
    </row>
    <row r="7" spans="1:15" s="1446" customFormat="1" x14ac:dyDescent="0.2">
      <c r="A7" s="1442" t="s">
        <v>68</v>
      </c>
      <c r="B7" s="1450" t="s">
        <v>85</v>
      </c>
      <c r="C7" s="1444">
        <v>20000</v>
      </c>
      <c r="D7" s="1444">
        <v>20000</v>
      </c>
      <c r="E7" s="1444">
        <v>20000</v>
      </c>
      <c r="F7" s="1444">
        <v>300000</v>
      </c>
      <c r="G7" s="1444">
        <v>300000</v>
      </c>
      <c r="H7" s="1444">
        <v>20000</v>
      </c>
      <c r="I7" s="1444">
        <v>20000</v>
      </c>
      <c r="J7" s="1444">
        <v>20000</v>
      </c>
      <c r="K7" s="1444">
        <v>350000</v>
      </c>
      <c r="L7" s="1444">
        <v>20000</v>
      </c>
      <c r="M7" s="1444">
        <v>20000</v>
      </c>
      <c r="N7" s="1444">
        <v>500000</v>
      </c>
      <c r="O7" s="1445">
        <f t="shared" si="0"/>
        <v>1610000</v>
      </c>
    </row>
    <row r="8" spans="1:15" s="1446" customFormat="1" ht="14.1" customHeight="1" x14ac:dyDescent="0.2">
      <c r="A8" s="1442" t="s">
        <v>27</v>
      </c>
      <c r="B8" s="1450" t="s">
        <v>1760</v>
      </c>
      <c r="C8" s="1444">
        <v>29715</v>
      </c>
      <c r="D8" s="1444">
        <v>29716</v>
      </c>
      <c r="E8" s="1444">
        <v>29717</v>
      </c>
      <c r="F8" s="1444">
        <v>29718</v>
      </c>
      <c r="G8" s="1444">
        <v>29719</v>
      </c>
      <c r="H8" s="1444">
        <v>29715</v>
      </c>
      <c r="I8" s="1444">
        <v>29715</v>
      </c>
      <c r="J8" s="1444">
        <v>29715</v>
      </c>
      <c r="K8" s="1444">
        <v>29715</v>
      </c>
      <c r="L8" s="1444">
        <v>29715</v>
      </c>
      <c r="M8" s="1444">
        <v>29715</v>
      </c>
      <c r="N8" s="1444">
        <v>29715</v>
      </c>
      <c r="O8" s="1445">
        <f t="shared" si="0"/>
        <v>356590</v>
      </c>
    </row>
    <row r="9" spans="1:15" s="1446" customFormat="1" ht="14.1" customHeight="1" x14ac:dyDescent="0.2">
      <c r="A9" s="1442" t="s">
        <v>32</v>
      </c>
      <c r="B9" s="1450" t="s">
        <v>1587</v>
      </c>
      <c r="C9" s="1444">
        <v>20834</v>
      </c>
      <c r="D9" s="1444">
        <v>20834</v>
      </c>
      <c r="E9" s="1444">
        <v>20834</v>
      </c>
      <c r="F9" s="1444">
        <v>20834</v>
      </c>
      <c r="G9" s="1444">
        <v>20833</v>
      </c>
      <c r="H9" s="1444">
        <v>20833</v>
      </c>
      <c r="I9" s="1444">
        <v>20833</v>
      </c>
      <c r="J9" s="1444">
        <v>20833</v>
      </c>
      <c r="K9" s="1444">
        <v>20833</v>
      </c>
      <c r="L9" s="1444">
        <v>20833</v>
      </c>
      <c r="M9" s="1444">
        <v>20833</v>
      </c>
      <c r="N9" s="1444">
        <v>20833</v>
      </c>
      <c r="O9" s="1445">
        <f t="shared" si="0"/>
        <v>250000</v>
      </c>
    </row>
    <row r="10" spans="1:15" s="1446" customFormat="1" ht="14.1" customHeight="1" x14ac:dyDescent="0.2">
      <c r="A10" s="1442" t="s">
        <v>74</v>
      </c>
      <c r="B10" s="1450" t="s">
        <v>1762</v>
      </c>
      <c r="C10" s="1444"/>
      <c r="D10" s="1444"/>
      <c r="E10" s="1444"/>
      <c r="F10" s="1444"/>
      <c r="G10" s="1444"/>
      <c r="H10" s="1444"/>
      <c r="I10" s="1444"/>
      <c r="J10" s="1444"/>
      <c r="K10" s="1444"/>
      <c r="L10" s="1444"/>
      <c r="M10" s="1444"/>
      <c r="N10" s="1444"/>
      <c r="O10" s="1445">
        <f t="shared" si="0"/>
        <v>0</v>
      </c>
    </row>
    <row r="11" spans="1:15" s="1446" customFormat="1" ht="14.1" customHeight="1" x14ac:dyDescent="0.2">
      <c r="A11" s="1442" t="s">
        <v>38</v>
      </c>
      <c r="B11" s="1443" t="s">
        <v>1631</v>
      </c>
      <c r="C11" s="1444">
        <v>84</v>
      </c>
      <c r="D11" s="1444">
        <v>83</v>
      </c>
      <c r="E11" s="1444">
        <v>83</v>
      </c>
      <c r="F11" s="1444">
        <v>83</v>
      </c>
      <c r="G11" s="1444">
        <v>83</v>
      </c>
      <c r="H11" s="1444">
        <v>83</v>
      </c>
      <c r="I11" s="1444">
        <v>83</v>
      </c>
      <c r="J11" s="1444">
        <v>83</v>
      </c>
      <c r="K11" s="1444">
        <v>83</v>
      </c>
      <c r="L11" s="1444">
        <v>84</v>
      </c>
      <c r="M11" s="1444">
        <v>84</v>
      </c>
      <c r="N11" s="1444">
        <v>84</v>
      </c>
      <c r="O11" s="1445">
        <f t="shared" si="0"/>
        <v>1000</v>
      </c>
    </row>
    <row r="12" spans="1:15" s="1446" customFormat="1" ht="16.5" thickBot="1" x14ac:dyDescent="0.25">
      <c r="A12" s="1442" t="s">
        <v>88</v>
      </c>
      <c r="B12" s="1450" t="s">
        <v>1528</v>
      </c>
      <c r="C12" s="1444"/>
      <c r="D12" s="1444"/>
      <c r="E12" s="1444"/>
      <c r="F12" s="1444"/>
      <c r="G12" s="1444"/>
      <c r="H12" s="1444"/>
      <c r="I12" s="1444"/>
      <c r="J12" s="1444"/>
      <c r="K12" s="1444"/>
      <c r="L12" s="1444"/>
      <c r="M12" s="1444"/>
      <c r="N12" s="1444"/>
      <c r="O12" s="1445">
        <f t="shared" si="0"/>
        <v>0</v>
      </c>
    </row>
    <row r="13" spans="1:15" s="1446" customFormat="1" ht="14.1" customHeight="1" thickBot="1" x14ac:dyDescent="0.25">
      <c r="A13" s="1508" t="s">
        <v>41</v>
      </c>
      <c r="B13" s="1451" t="s">
        <v>599</v>
      </c>
      <c r="C13" s="1452">
        <f t="shared" ref="C13:N13" si="1">SUM(C5:C12)</f>
        <v>153243</v>
      </c>
      <c r="D13" s="1452">
        <f t="shared" si="1"/>
        <v>153243</v>
      </c>
      <c r="E13" s="1452">
        <f t="shared" si="1"/>
        <v>153244</v>
      </c>
      <c r="F13" s="1452">
        <f t="shared" si="1"/>
        <v>433245</v>
      </c>
      <c r="G13" s="1452">
        <f t="shared" si="1"/>
        <v>433245</v>
      </c>
      <c r="H13" s="1452">
        <f t="shared" si="1"/>
        <v>153241</v>
      </c>
      <c r="I13" s="1452">
        <f t="shared" si="1"/>
        <v>153241</v>
      </c>
      <c r="J13" s="1452">
        <f t="shared" si="1"/>
        <v>153241</v>
      </c>
      <c r="K13" s="1452">
        <f t="shared" si="1"/>
        <v>483241</v>
      </c>
      <c r="L13" s="1452">
        <f t="shared" si="1"/>
        <v>153242</v>
      </c>
      <c r="M13" s="1452">
        <f t="shared" si="1"/>
        <v>153242</v>
      </c>
      <c r="N13" s="1452">
        <f t="shared" si="1"/>
        <v>633242</v>
      </c>
      <c r="O13" s="1453">
        <f>SUM(C13:N13)</f>
        <v>3208910</v>
      </c>
    </row>
    <row r="14" spans="1:15" s="1441" customFormat="1" ht="15.95" customHeight="1" thickBot="1" x14ac:dyDescent="0.25">
      <c r="A14" s="1508" t="s">
        <v>42</v>
      </c>
      <c r="B14" s="1629" t="s">
        <v>82</v>
      </c>
      <c r="C14" s="1630"/>
      <c r="D14" s="1630"/>
      <c r="E14" s="1630"/>
      <c r="F14" s="1630"/>
      <c r="G14" s="1630"/>
      <c r="H14" s="1630"/>
      <c r="I14" s="1630"/>
      <c r="J14" s="1630"/>
      <c r="K14" s="1630"/>
      <c r="L14" s="1630"/>
      <c r="M14" s="1630"/>
      <c r="N14" s="1630"/>
      <c r="O14" s="1631"/>
    </row>
    <row r="15" spans="1:15" s="1441" customFormat="1" ht="15" customHeight="1" x14ac:dyDescent="0.2">
      <c r="A15" s="1442" t="s">
        <v>45</v>
      </c>
      <c r="B15" s="1454" t="s">
        <v>84</v>
      </c>
      <c r="C15" s="1448">
        <v>81745</v>
      </c>
      <c r="D15" s="1448">
        <v>81745</v>
      </c>
      <c r="E15" s="1448">
        <v>81745</v>
      </c>
      <c r="F15" s="1448">
        <v>81745</v>
      </c>
      <c r="G15" s="1448">
        <v>81745</v>
      </c>
      <c r="H15" s="1448">
        <v>81745</v>
      </c>
      <c r="I15" s="1448">
        <v>81745</v>
      </c>
      <c r="J15" s="1448">
        <v>81745</v>
      </c>
      <c r="K15" s="1448">
        <v>81745</v>
      </c>
      <c r="L15" s="1448">
        <v>81745</v>
      </c>
      <c r="M15" s="1448">
        <v>81745</v>
      </c>
      <c r="N15" s="1448">
        <v>81744</v>
      </c>
      <c r="O15" s="1449">
        <f t="shared" si="0"/>
        <v>980939</v>
      </c>
    </row>
    <row r="16" spans="1:15" s="1446" customFormat="1" ht="26.25" customHeight="1" x14ac:dyDescent="0.2">
      <c r="A16" s="1442" t="s">
        <v>46</v>
      </c>
      <c r="B16" s="1443" t="s">
        <v>53</v>
      </c>
      <c r="C16" s="1444">
        <v>22440</v>
      </c>
      <c r="D16" s="1444">
        <v>22440</v>
      </c>
      <c r="E16" s="1444">
        <v>22440</v>
      </c>
      <c r="F16" s="1444">
        <v>22440</v>
      </c>
      <c r="G16" s="1444">
        <v>22440</v>
      </c>
      <c r="H16" s="1444">
        <v>22440</v>
      </c>
      <c r="I16" s="1444">
        <v>22441</v>
      </c>
      <c r="J16" s="1444">
        <v>22441</v>
      </c>
      <c r="K16" s="1444">
        <v>22441</v>
      </c>
      <c r="L16" s="1444">
        <v>22441</v>
      </c>
      <c r="M16" s="1444">
        <v>22441</v>
      </c>
      <c r="N16" s="1444">
        <v>22441</v>
      </c>
      <c r="O16" s="1445">
        <f t="shared" si="0"/>
        <v>269286</v>
      </c>
    </row>
    <row r="17" spans="1:15" s="1446" customFormat="1" ht="12.75" customHeight="1" x14ac:dyDescent="0.2">
      <c r="A17" s="1442" t="s">
        <v>47</v>
      </c>
      <c r="B17" s="1450" t="s">
        <v>55</v>
      </c>
      <c r="C17" s="1444">
        <v>113181</v>
      </c>
      <c r="D17" s="1444">
        <v>113181</v>
      </c>
      <c r="E17" s="1444">
        <v>113181</v>
      </c>
      <c r="F17" s="1444">
        <v>113181</v>
      </c>
      <c r="G17" s="1444">
        <v>113181</v>
      </c>
      <c r="H17" s="1444">
        <v>113181</v>
      </c>
      <c r="I17" s="1444">
        <v>113181</v>
      </c>
      <c r="J17" s="1444">
        <v>113181</v>
      </c>
      <c r="K17" s="1444">
        <v>113181</v>
      </c>
      <c r="L17" s="1444">
        <v>113181</v>
      </c>
      <c r="M17" s="1444">
        <v>113181</v>
      </c>
      <c r="N17" s="1444">
        <v>113182</v>
      </c>
      <c r="O17" s="1445">
        <f t="shared" si="0"/>
        <v>1358173</v>
      </c>
    </row>
    <row r="18" spans="1:15" s="1446" customFormat="1" ht="14.1" customHeight="1" x14ac:dyDescent="0.2">
      <c r="A18" s="1442" t="s">
        <v>91</v>
      </c>
      <c r="B18" s="1450" t="s">
        <v>57</v>
      </c>
      <c r="C18" s="1444">
        <v>3333</v>
      </c>
      <c r="D18" s="1444">
        <v>3333</v>
      </c>
      <c r="E18" s="1444">
        <v>3333</v>
      </c>
      <c r="F18" s="1444">
        <v>3333</v>
      </c>
      <c r="G18" s="1444">
        <v>3333</v>
      </c>
      <c r="H18" s="1444">
        <v>3333</v>
      </c>
      <c r="I18" s="1444">
        <v>3333</v>
      </c>
      <c r="J18" s="1444">
        <v>3333</v>
      </c>
      <c r="K18" s="1444">
        <v>3334</v>
      </c>
      <c r="L18" s="1444">
        <v>3334</v>
      </c>
      <c r="M18" s="1444">
        <v>3334</v>
      </c>
      <c r="N18" s="1444">
        <v>3334</v>
      </c>
      <c r="O18" s="1445">
        <f t="shared" si="0"/>
        <v>40000</v>
      </c>
    </row>
    <row r="19" spans="1:15" s="1446" customFormat="1" ht="14.1" customHeight="1" x14ac:dyDescent="0.2">
      <c r="A19" s="1442" t="s">
        <v>92</v>
      </c>
      <c r="B19" s="1450" t="s">
        <v>1836</v>
      </c>
      <c r="C19" s="1444">
        <v>24578</v>
      </c>
      <c r="D19" s="1444">
        <v>24578</v>
      </c>
      <c r="E19" s="1444">
        <v>24578</v>
      </c>
      <c r="F19" s="1444">
        <v>24578</v>
      </c>
      <c r="G19" s="1444">
        <v>24578</v>
      </c>
      <c r="H19" s="1444">
        <v>24578</v>
      </c>
      <c r="I19" s="1444">
        <v>24578</v>
      </c>
      <c r="J19" s="1444">
        <v>24579</v>
      </c>
      <c r="K19" s="1444">
        <v>24579</v>
      </c>
      <c r="L19" s="1444">
        <v>24579</v>
      </c>
      <c r="M19" s="1444">
        <v>24579</v>
      </c>
      <c r="N19" s="1444">
        <v>24579</v>
      </c>
      <c r="O19" s="1445">
        <f t="shared" si="0"/>
        <v>294941</v>
      </c>
    </row>
    <row r="20" spans="1:15" s="1446" customFormat="1" ht="14.1" customHeight="1" x14ac:dyDescent="0.2">
      <c r="A20" s="1442" t="s">
        <v>93</v>
      </c>
      <c r="B20" s="1450" t="s">
        <v>1173</v>
      </c>
      <c r="C20" s="1444"/>
      <c r="D20" s="1444"/>
      <c r="E20" s="1444">
        <v>10000</v>
      </c>
      <c r="F20" s="1444">
        <v>15000</v>
      </c>
      <c r="G20" s="1444">
        <v>15000</v>
      </c>
      <c r="H20" s="1444">
        <v>18319</v>
      </c>
      <c r="I20" s="1444">
        <v>21348</v>
      </c>
      <c r="J20" s="1444">
        <v>36321</v>
      </c>
      <c r="K20" s="1444">
        <v>21521</v>
      </c>
      <c r="L20" s="1444"/>
      <c r="M20" s="1444"/>
      <c r="N20" s="1444"/>
      <c r="O20" s="1445">
        <f t="shared" si="0"/>
        <v>137509</v>
      </c>
    </row>
    <row r="21" spans="1:15" s="1446" customFormat="1" ht="14.1" customHeight="1" x14ac:dyDescent="0.2">
      <c r="A21" s="1442" t="s">
        <v>94</v>
      </c>
      <c r="B21" s="1443" t="s">
        <v>64</v>
      </c>
      <c r="C21" s="1444"/>
      <c r="D21" s="1444"/>
      <c r="E21" s="1444"/>
      <c r="F21" s="1444"/>
      <c r="G21" s="1444"/>
      <c r="H21" s="1444"/>
      <c r="I21" s="1444">
        <v>7500</v>
      </c>
      <c r="J21" s="1444">
        <v>7500</v>
      </c>
      <c r="K21" s="1444"/>
      <c r="L21" s="1444"/>
      <c r="M21" s="1444"/>
      <c r="N21" s="1444"/>
      <c r="O21" s="1445">
        <f t="shared" si="0"/>
        <v>15000</v>
      </c>
    </row>
    <row r="22" spans="1:15" s="1446" customFormat="1" x14ac:dyDescent="0.2">
      <c r="A22" s="1442" t="s">
        <v>95</v>
      </c>
      <c r="B22" s="1450" t="s">
        <v>1174</v>
      </c>
      <c r="C22" s="1444">
        <v>8939</v>
      </c>
      <c r="D22" s="1444">
        <v>8939</v>
      </c>
      <c r="E22" s="1444">
        <v>8939</v>
      </c>
      <c r="F22" s="1444">
        <v>8939</v>
      </c>
      <c r="G22" s="1444">
        <v>8939</v>
      </c>
      <c r="H22" s="1444">
        <v>8939</v>
      </c>
      <c r="I22" s="1444">
        <v>8939</v>
      </c>
      <c r="J22" s="1444">
        <v>8939</v>
      </c>
      <c r="K22" s="1444">
        <v>8940</v>
      </c>
      <c r="L22" s="1444">
        <v>8940</v>
      </c>
      <c r="M22" s="1444">
        <v>8940</v>
      </c>
      <c r="N22" s="1444">
        <v>8940</v>
      </c>
      <c r="O22" s="1445">
        <f t="shared" si="0"/>
        <v>107272</v>
      </c>
    </row>
    <row r="23" spans="1:15" s="1446" customFormat="1" ht="14.1" customHeight="1" thickBot="1" x14ac:dyDescent="0.25">
      <c r="A23" s="1442" t="s">
        <v>96</v>
      </c>
      <c r="B23" s="1450" t="s">
        <v>1837</v>
      </c>
      <c r="C23" s="1444"/>
      <c r="D23" s="1444"/>
      <c r="E23" s="1444">
        <v>5790</v>
      </c>
      <c r="F23" s="1444"/>
      <c r="G23" s="1444"/>
      <c r="H23" s="1444"/>
      <c r="I23" s="1444"/>
      <c r="J23" s="1444"/>
      <c r="K23" s="1444"/>
      <c r="L23" s="1444"/>
      <c r="M23" s="1444"/>
      <c r="N23" s="1444"/>
      <c r="O23" s="1445">
        <f t="shared" si="0"/>
        <v>5790</v>
      </c>
    </row>
    <row r="24" spans="1:15" s="1446" customFormat="1" ht="14.1" customHeight="1" thickBot="1" x14ac:dyDescent="0.25">
      <c r="A24" s="1508" t="s">
        <v>97</v>
      </c>
      <c r="B24" s="1451" t="s">
        <v>610</v>
      </c>
      <c r="C24" s="1452">
        <f t="shared" ref="C24:N24" si="2">SUM(C15:C23)</f>
        <v>254216</v>
      </c>
      <c r="D24" s="1452">
        <f t="shared" si="2"/>
        <v>254216</v>
      </c>
      <c r="E24" s="1452">
        <f t="shared" si="2"/>
        <v>270006</v>
      </c>
      <c r="F24" s="1452">
        <f t="shared" si="2"/>
        <v>269216</v>
      </c>
      <c r="G24" s="1452">
        <f t="shared" si="2"/>
        <v>269216</v>
      </c>
      <c r="H24" s="1452">
        <f t="shared" si="2"/>
        <v>272535</v>
      </c>
      <c r="I24" s="1452">
        <f t="shared" si="2"/>
        <v>283065</v>
      </c>
      <c r="J24" s="1452">
        <f t="shared" si="2"/>
        <v>298039</v>
      </c>
      <c r="K24" s="1452">
        <f t="shared" si="2"/>
        <v>275741</v>
      </c>
      <c r="L24" s="1452">
        <f t="shared" si="2"/>
        <v>254220</v>
      </c>
      <c r="M24" s="1452">
        <f t="shared" si="2"/>
        <v>254220</v>
      </c>
      <c r="N24" s="1452">
        <f t="shared" si="2"/>
        <v>254220</v>
      </c>
      <c r="O24" s="1453">
        <f t="shared" si="0"/>
        <v>3208910</v>
      </c>
    </row>
    <row r="25" spans="1:15" s="1441" customFormat="1" ht="15.95" customHeight="1" thickBot="1" x14ac:dyDescent="0.25">
      <c r="A25" s="1508" t="s">
        <v>98</v>
      </c>
      <c r="B25" s="1455" t="s">
        <v>955</v>
      </c>
      <c r="C25" s="1456">
        <f t="shared" ref="C25:O25" si="3">C13-C24</f>
        <v>-100973</v>
      </c>
      <c r="D25" s="1456">
        <f t="shared" si="3"/>
        <v>-100973</v>
      </c>
      <c r="E25" s="1456">
        <f t="shared" si="3"/>
        <v>-116762</v>
      </c>
      <c r="F25" s="1456">
        <f t="shared" si="3"/>
        <v>164029</v>
      </c>
      <c r="G25" s="1456">
        <f t="shared" si="3"/>
        <v>164029</v>
      </c>
      <c r="H25" s="1456">
        <f t="shared" si="3"/>
        <v>-119294</v>
      </c>
      <c r="I25" s="1456">
        <f t="shared" si="3"/>
        <v>-129824</v>
      </c>
      <c r="J25" s="1456">
        <f t="shared" si="3"/>
        <v>-144798</v>
      </c>
      <c r="K25" s="1456">
        <f t="shared" si="3"/>
        <v>207500</v>
      </c>
      <c r="L25" s="1456">
        <f t="shared" si="3"/>
        <v>-100978</v>
      </c>
      <c r="M25" s="1456">
        <f t="shared" si="3"/>
        <v>-100978</v>
      </c>
      <c r="N25" s="1456">
        <f t="shared" si="3"/>
        <v>379022</v>
      </c>
      <c r="O25" s="1457">
        <f t="shared" si="3"/>
        <v>0</v>
      </c>
    </row>
    <row r="26" spans="1:15" x14ac:dyDescent="0.25">
      <c r="A26" s="1458"/>
    </row>
    <row r="27" spans="1:15" x14ac:dyDescent="0.25">
      <c r="B27" s="1459"/>
      <c r="C27" s="1460"/>
      <c r="D27" s="1460"/>
      <c r="O27" s="1434"/>
    </row>
    <row r="28" spans="1:15" x14ac:dyDescent="0.25">
      <c r="O28" s="1434"/>
    </row>
    <row r="29" spans="1:15" x14ac:dyDescent="0.25">
      <c r="O29" s="1434"/>
    </row>
    <row r="30" spans="1:15" x14ac:dyDescent="0.25">
      <c r="O30" s="1434"/>
    </row>
    <row r="31" spans="1:15" x14ac:dyDescent="0.25">
      <c r="O31" s="1434"/>
    </row>
    <row r="32" spans="1:15" x14ac:dyDescent="0.25">
      <c r="O32" s="1434"/>
    </row>
    <row r="33" spans="15:15" x14ac:dyDescent="0.25">
      <c r="O33" s="1434"/>
    </row>
    <row r="34" spans="15:15" x14ac:dyDescent="0.25">
      <c r="O34" s="1434"/>
    </row>
    <row r="35" spans="15:15" x14ac:dyDescent="0.25">
      <c r="O35" s="1434"/>
    </row>
    <row r="36" spans="15:15" x14ac:dyDescent="0.25">
      <c r="O36" s="1434"/>
    </row>
    <row r="37" spans="15:15" x14ac:dyDescent="0.25">
      <c r="O37" s="1434"/>
    </row>
    <row r="38" spans="15:15" x14ac:dyDescent="0.25">
      <c r="O38" s="1434"/>
    </row>
    <row r="39" spans="15:15" x14ac:dyDescent="0.25">
      <c r="O39" s="1434"/>
    </row>
    <row r="40" spans="15:15" x14ac:dyDescent="0.25">
      <c r="O40" s="1434"/>
    </row>
    <row r="41" spans="15:15" x14ac:dyDescent="0.25">
      <c r="O41" s="1434"/>
    </row>
    <row r="42" spans="15:15" x14ac:dyDescent="0.25">
      <c r="O42" s="1434"/>
    </row>
    <row r="43" spans="15:15" x14ac:dyDescent="0.25">
      <c r="O43" s="1434"/>
    </row>
    <row r="44" spans="15:15" x14ac:dyDescent="0.25">
      <c r="O44" s="1434"/>
    </row>
    <row r="45" spans="15:15" x14ac:dyDescent="0.25">
      <c r="O45" s="1434"/>
    </row>
    <row r="46" spans="15:15" x14ac:dyDescent="0.25">
      <c r="O46" s="1434"/>
    </row>
    <row r="47" spans="15:15" x14ac:dyDescent="0.25">
      <c r="O47" s="1434"/>
    </row>
    <row r="48" spans="15:15" x14ac:dyDescent="0.25">
      <c r="O48" s="1434"/>
    </row>
    <row r="49" spans="15:15" x14ac:dyDescent="0.25">
      <c r="O49" s="1434"/>
    </row>
    <row r="50" spans="15:15" x14ac:dyDescent="0.25">
      <c r="O50" s="1434"/>
    </row>
    <row r="51" spans="15:15" x14ac:dyDescent="0.25">
      <c r="O51" s="1434"/>
    </row>
    <row r="52" spans="15:15" x14ac:dyDescent="0.25">
      <c r="O52" s="1434"/>
    </row>
    <row r="53" spans="15:15" x14ac:dyDescent="0.25">
      <c r="O53" s="1434"/>
    </row>
    <row r="54" spans="15:15" x14ac:dyDescent="0.25">
      <c r="O54" s="1434"/>
    </row>
    <row r="55" spans="15:15" x14ac:dyDescent="0.25">
      <c r="O55" s="1434"/>
    </row>
    <row r="56" spans="15:15" x14ac:dyDescent="0.25">
      <c r="O56" s="1434"/>
    </row>
    <row r="57" spans="15:15" x14ac:dyDescent="0.25">
      <c r="O57" s="1434"/>
    </row>
    <row r="58" spans="15:15" x14ac:dyDescent="0.25">
      <c r="O58" s="1434"/>
    </row>
    <row r="59" spans="15:15" x14ac:dyDescent="0.25">
      <c r="O59" s="1434"/>
    </row>
    <row r="60" spans="15:15" x14ac:dyDescent="0.25">
      <c r="O60" s="1434"/>
    </row>
    <row r="61" spans="15:15" x14ac:dyDescent="0.25">
      <c r="O61" s="1434"/>
    </row>
    <row r="62" spans="15:15" x14ac:dyDescent="0.25">
      <c r="O62" s="1434"/>
    </row>
    <row r="63" spans="15:15" x14ac:dyDescent="0.25">
      <c r="O63" s="1434"/>
    </row>
    <row r="64" spans="15:15" x14ac:dyDescent="0.25">
      <c r="O64" s="1434"/>
    </row>
    <row r="65" spans="15:15" x14ac:dyDescent="0.25">
      <c r="O65" s="1434"/>
    </row>
    <row r="66" spans="15:15" x14ac:dyDescent="0.25">
      <c r="O66" s="1434"/>
    </row>
    <row r="67" spans="15:15" x14ac:dyDescent="0.25">
      <c r="O67" s="1434"/>
    </row>
    <row r="68" spans="15:15" x14ac:dyDescent="0.25">
      <c r="O68" s="1434"/>
    </row>
    <row r="69" spans="15:15" x14ac:dyDescent="0.25">
      <c r="O69" s="1434"/>
    </row>
    <row r="70" spans="15:15" x14ac:dyDescent="0.25">
      <c r="O70" s="1434"/>
    </row>
    <row r="71" spans="15:15" x14ac:dyDescent="0.25">
      <c r="O71" s="1434"/>
    </row>
    <row r="72" spans="15:15" x14ac:dyDescent="0.25">
      <c r="O72" s="1434"/>
    </row>
    <row r="73" spans="15:15" x14ac:dyDescent="0.25">
      <c r="O73" s="1434"/>
    </row>
    <row r="74" spans="15:15" x14ac:dyDescent="0.25">
      <c r="O74" s="1434"/>
    </row>
    <row r="75" spans="15:15" x14ac:dyDescent="0.25">
      <c r="O75" s="1434"/>
    </row>
    <row r="76" spans="15:15" x14ac:dyDescent="0.25">
      <c r="O76" s="1434"/>
    </row>
    <row r="77" spans="15:15" x14ac:dyDescent="0.25">
      <c r="O77" s="1434"/>
    </row>
    <row r="78" spans="15:15" x14ac:dyDescent="0.25">
      <c r="O78" s="1434"/>
    </row>
    <row r="79" spans="15:15" x14ac:dyDescent="0.25">
      <c r="O79" s="1434"/>
    </row>
    <row r="80" spans="15:15" x14ac:dyDescent="0.25">
      <c r="O80" s="1434"/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27559055118110237" right="0.19685039370078741" top="0.74803149606299213" bottom="0.98425196850393704" header="0.43307086614173229" footer="0.78740157480314965"/>
  <pageSetup paperSize="9" firstPageNumber="153" orientation="landscape" useFirstPageNumber="1" r:id="rId1"/>
  <headerFooter alignWithMargins="0">
    <oddHeader xml:space="preserve">&amp;R&amp;12 13. sz. melléklet
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10" sqref="L10"/>
    </sheetView>
  </sheetViews>
  <sheetFormatPr defaultColWidth="9.33203125" defaultRowHeight="12.75" x14ac:dyDescent="0.2"/>
  <cols>
    <col min="1" max="1" width="6.83203125" style="856" customWidth="1"/>
    <col min="2" max="2" width="49.6640625" style="857" customWidth="1"/>
    <col min="3" max="4" width="14.5" style="857" customWidth="1"/>
    <col min="5" max="5" width="16.5" style="857" customWidth="1"/>
    <col min="6" max="7" width="15.5" style="857" customWidth="1"/>
    <col min="8" max="8" width="16.83203125" style="857" customWidth="1"/>
    <col min="9" max="256" width="9.33203125" style="857"/>
    <col min="257" max="257" width="6.83203125" style="857" customWidth="1"/>
    <col min="258" max="258" width="49.6640625" style="857" customWidth="1"/>
    <col min="259" max="260" width="14.5" style="857" customWidth="1"/>
    <col min="261" max="261" width="16.5" style="857" customWidth="1"/>
    <col min="262" max="263" width="15.5" style="857" customWidth="1"/>
    <col min="264" max="264" width="16.83203125" style="857" customWidth="1"/>
    <col min="265" max="512" width="9.33203125" style="857"/>
    <col min="513" max="513" width="6.83203125" style="857" customWidth="1"/>
    <col min="514" max="514" width="49.6640625" style="857" customWidth="1"/>
    <col min="515" max="516" width="14.5" style="857" customWidth="1"/>
    <col min="517" max="517" width="16.5" style="857" customWidth="1"/>
    <col min="518" max="519" width="15.5" style="857" customWidth="1"/>
    <col min="520" max="520" width="16.83203125" style="857" customWidth="1"/>
    <col min="521" max="768" width="9.33203125" style="857"/>
    <col min="769" max="769" width="6.83203125" style="857" customWidth="1"/>
    <col min="770" max="770" width="49.6640625" style="857" customWidth="1"/>
    <col min="771" max="772" width="14.5" style="857" customWidth="1"/>
    <col min="773" max="773" width="16.5" style="857" customWidth="1"/>
    <col min="774" max="775" width="15.5" style="857" customWidth="1"/>
    <col min="776" max="776" width="16.83203125" style="857" customWidth="1"/>
    <col min="777" max="1024" width="9.33203125" style="857"/>
    <col min="1025" max="1025" width="6.83203125" style="857" customWidth="1"/>
    <col min="1026" max="1026" width="49.6640625" style="857" customWidth="1"/>
    <col min="1027" max="1028" width="14.5" style="857" customWidth="1"/>
    <col min="1029" max="1029" width="16.5" style="857" customWidth="1"/>
    <col min="1030" max="1031" width="15.5" style="857" customWidth="1"/>
    <col min="1032" max="1032" width="16.83203125" style="857" customWidth="1"/>
    <col min="1033" max="1280" width="9.33203125" style="857"/>
    <col min="1281" max="1281" width="6.83203125" style="857" customWidth="1"/>
    <col min="1282" max="1282" width="49.6640625" style="857" customWidth="1"/>
    <col min="1283" max="1284" width="14.5" style="857" customWidth="1"/>
    <col min="1285" max="1285" width="16.5" style="857" customWidth="1"/>
    <col min="1286" max="1287" width="15.5" style="857" customWidth="1"/>
    <col min="1288" max="1288" width="16.83203125" style="857" customWidth="1"/>
    <col min="1289" max="1536" width="9.33203125" style="857"/>
    <col min="1537" max="1537" width="6.83203125" style="857" customWidth="1"/>
    <col min="1538" max="1538" width="49.6640625" style="857" customWidth="1"/>
    <col min="1539" max="1540" width="14.5" style="857" customWidth="1"/>
    <col min="1541" max="1541" width="16.5" style="857" customWidth="1"/>
    <col min="1542" max="1543" width="15.5" style="857" customWidth="1"/>
    <col min="1544" max="1544" width="16.83203125" style="857" customWidth="1"/>
    <col min="1545" max="1792" width="9.33203125" style="857"/>
    <col min="1793" max="1793" width="6.83203125" style="857" customWidth="1"/>
    <col min="1794" max="1794" width="49.6640625" style="857" customWidth="1"/>
    <col min="1795" max="1796" width="14.5" style="857" customWidth="1"/>
    <col min="1797" max="1797" width="16.5" style="857" customWidth="1"/>
    <col min="1798" max="1799" width="15.5" style="857" customWidth="1"/>
    <col min="1800" max="1800" width="16.83203125" style="857" customWidth="1"/>
    <col min="1801" max="2048" width="9.33203125" style="857"/>
    <col min="2049" max="2049" width="6.83203125" style="857" customWidth="1"/>
    <col min="2050" max="2050" width="49.6640625" style="857" customWidth="1"/>
    <col min="2051" max="2052" width="14.5" style="857" customWidth="1"/>
    <col min="2053" max="2053" width="16.5" style="857" customWidth="1"/>
    <col min="2054" max="2055" width="15.5" style="857" customWidth="1"/>
    <col min="2056" max="2056" width="16.83203125" style="857" customWidth="1"/>
    <col min="2057" max="2304" width="9.33203125" style="857"/>
    <col min="2305" max="2305" width="6.83203125" style="857" customWidth="1"/>
    <col min="2306" max="2306" width="49.6640625" style="857" customWidth="1"/>
    <col min="2307" max="2308" width="14.5" style="857" customWidth="1"/>
    <col min="2309" max="2309" width="16.5" style="857" customWidth="1"/>
    <col min="2310" max="2311" width="15.5" style="857" customWidth="1"/>
    <col min="2312" max="2312" width="16.83203125" style="857" customWidth="1"/>
    <col min="2313" max="2560" width="9.33203125" style="857"/>
    <col min="2561" max="2561" width="6.83203125" style="857" customWidth="1"/>
    <col min="2562" max="2562" width="49.6640625" style="857" customWidth="1"/>
    <col min="2563" max="2564" width="14.5" style="857" customWidth="1"/>
    <col min="2565" max="2565" width="16.5" style="857" customWidth="1"/>
    <col min="2566" max="2567" width="15.5" style="857" customWidth="1"/>
    <col min="2568" max="2568" width="16.83203125" style="857" customWidth="1"/>
    <col min="2569" max="2816" width="9.33203125" style="857"/>
    <col min="2817" max="2817" width="6.83203125" style="857" customWidth="1"/>
    <col min="2818" max="2818" width="49.6640625" style="857" customWidth="1"/>
    <col min="2819" max="2820" width="14.5" style="857" customWidth="1"/>
    <col min="2821" max="2821" width="16.5" style="857" customWidth="1"/>
    <col min="2822" max="2823" width="15.5" style="857" customWidth="1"/>
    <col min="2824" max="2824" width="16.83203125" style="857" customWidth="1"/>
    <col min="2825" max="3072" width="9.33203125" style="857"/>
    <col min="3073" max="3073" width="6.83203125" style="857" customWidth="1"/>
    <col min="3074" max="3074" width="49.6640625" style="857" customWidth="1"/>
    <col min="3075" max="3076" width="14.5" style="857" customWidth="1"/>
    <col min="3077" max="3077" width="16.5" style="857" customWidth="1"/>
    <col min="3078" max="3079" width="15.5" style="857" customWidth="1"/>
    <col min="3080" max="3080" width="16.83203125" style="857" customWidth="1"/>
    <col min="3081" max="3328" width="9.33203125" style="857"/>
    <col min="3329" max="3329" width="6.83203125" style="857" customWidth="1"/>
    <col min="3330" max="3330" width="49.6640625" style="857" customWidth="1"/>
    <col min="3331" max="3332" width="14.5" style="857" customWidth="1"/>
    <col min="3333" max="3333" width="16.5" style="857" customWidth="1"/>
    <col min="3334" max="3335" width="15.5" style="857" customWidth="1"/>
    <col min="3336" max="3336" width="16.83203125" style="857" customWidth="1"/>
    <col min="3337" max="3584" width="9.33203125" style="857"/>
    <col min="3585" max="3585" width="6.83203125" style="857" customWidth="1"/>
    <col min="3586" max="3586" width="49.6640625" style="857" customWidth="1"/>
    <col min="3587" max="3588" width="14.5" style="857" customWidth="1"/>
    <col min="3589" max="3589" width="16.5" style="857" customWidth="1"/>
    <col min="3590" max="3591" width="15.5" style="857" customWidth="1"/>
    <col min="3592" max="3592" width="16.83203125" style="857" customWidth="1"/>
    <col min="3593" max="3840" width="9.33203125" style="857"/>
    <col min="3841" max="3841" width="6.83203125" style="857" customWidth="1"/>
    <col min="3842" max="3842" width="49.6640625" style="857" customWidth="1"/>
    <col min="3843" max="3844" width="14.5" style="857" customWidth="1"/>
    <col min="3845" max="3845" width="16.5" style="857" customWidth="1"/>
    <col min="3846" max="3847" width="15.5" style="857" customWidth="1"/>
    <col min="3848" max="3848" width="16.83203125" style="857" customWidth="1"/>
    <col min="3849" max="4096" width="9.33203125" style="857"/>
    <col min="4097" max="4097" width="6.83203125" style="857" customWidth="1"/>
    <col min="4098" max="4098" width="49.6640625" style="857" customWidth="1"/>
    <col min="4099" max="4100" width="14.5" style="857" customWidth="1"/>
    <col min="4101" max="4101" width="16.5" style="857" customWidth="1"/>
    <col min="4102" max="4103" width="15.5" style="857" customWidth="1"/>
    <col min="4104" max="4104" width="16.83203125" style="857" customWidth="1"/>
    <col min="4105" max="4352" width="9.33203125" style="857"/>
    <col min="4353" max="4353" width="6.83203125" style="857" customWidth="1"/>
    <col min="4354" max="4354" width="49.6640625" style="857" customWidth="1"/>
    <col min="4355" max="4356" width="14.5" style="857" customWidth="1"/>
    <col min="4357" max="4357" width="16.5" style="857" customWidth="1"/>
    <col min="4358" max="4359" width="15.5" style="857" customWidth="1"/>
    <col min="4360" max="4360" width="16.83203125" style="857" customWidth="1"/>
    <col min="4361" max="4608" width="9.33203125" style="857"/>
    <col min="4609" max="4609" width="6.83203125" style="857" customWidth="1"/>
    <col min="4610" max="4610" width="49.6640625" style="857" customWidth="1"/>
    <col min="4611" max="4612" width="14.5" style="857" customWidth="1"/>
    <col min="4613" max="4613" width="16.5" style="857" customWidth="1"/>
    <col min="4614" max="4615" width="15.5" style="857" customWidth="1"/>
    <col min="4616" max="4616" width="16.83203125" style="857" customWidth="1"/>
    <col min="4617" max="4864" width="9.33203125" style="857"/>
    <col min="4865" max="4865" width="6.83203125" style="857" customWidth="1"/>
    <col min="4866" max="4866" width="49.6640625" style="857" customWidth="1"/>
    <col min="4867" max="4868" width="14.5" style="857" customWidth="1"/>
    <col min="4869" max="4869" width="16.5" style="857" customWidth="1"/>
    <col min="4870" max="4871" width="15.5" style="857" customWidth="1"/>
    <col min="4872" max="4872" width="16.83203125" style="857" customWidth="1"/>
    <col min="4873" max="5120" width="9.33203125" style="857"/>
    <col min="5121" max="5121" width="6.83203125" style="857" customWidth="1"/>
    <col min="5122" max="5122" width="49.6640625" style="857" customWidth="1"/>
    <col min="5123" max="5124" width="14.5" style="857" customWidth="1"/>
    <col min="5125" max="5125" width="16.5" style="857" customWidth="1"/>
    <col min="5126" max="5127" width="15.5" style="857" customWidth="1"/>
    <col min="5128" max="5128" width="16.83203125" style="857" customWidth="1"/>
    <col min="5129" max="5376" width="9.33203125" style="857"/>
    <col min="5377" max="5377" width="6.83203125" style="857" customWidth="1"/>
    <col min="5378" max="5378" width="49.6640625" style="857" customWidth="1"/>
    <col min="5379" max="5380" width="14.5" style="857" customWidth="1"/>
    <col min="5381" max="5381" width="16.5" style="857" customWidth="1"/>
    <col min="5382" max="5383" width="15.5" style="857" customWidth="1"/>
    <col min="5384" max="5384" width="16.83203125" style="857" customWidth="1"/>
    <col min="5385" max="5632" width="9.33203125" style="857"/>
    <col min="5633" max="5633" width="6.83203125" style="857" customWidth="1"/>
    <col min="5634" max="5634" width="49.6640625" style="857" customWidth="1"/>
    <col min="5635" max="5636" width="14.5" style="857" customWidth="1"/>
    <col min="5637" max="5637" width="16.5" style="857" customWidth="1"/>
    <col min="5638" max="5639" width="15.5" style="857" customWidth="1"/>
    <col min="5640" max="5640" width="16.83203125" style="857" customWidth="1"/>
    <col min="5641" max="5888" width="9.33203125" style="857"/>
    <col min="5889" max="5889" width="6.83203125" style="857" customWidth="1"/>
    <col min="5890" max="5890" width="49.6640625" style="857" customWidth="1"/>
    <col min="5891" max="5892" width="14.5" style="857" customWidth="1"/>
    <col min="5893" max="5893" width="16.5" style="857" customWidth="1"/>
    <col min="5894" max="5895" width="15.5" style="857" customWidth="1"/>
    <col min="5896" max="5896" width="16.83203125" style="857" customWidth="1"/>
    <col min="5897" max="6144" width="9.33203125" style="857"/>
    <col min="6145" max="6145" width="6.83203125" style="857" customWidth="1"/>
    <col min="6146" max="6146" width="49.6640625" style="857" customWidth="1"/>
    <col min="6147" max="6148" width="14.5" style="857" customWidth="1"/>
    <col min="6149" max="6149" width="16.5" style="857" customWidth="1"/>
    <col min="6150" max="6151" width="15.5" style="857" customWidth="1"/>
    <col min="6152" max="6152" width="16.83203125" style="857" customWidth="1"/>
    <col min="6153" max="6400" width="9.33203125" style="857"/>
    <col min="6401" max="6401" width="6.83203125" style="857" customWidth="1"/>
    <col min="6402" max="6402" width="49.6640625" style="857" customWidth="1"/>
    <col min="6403" max="6404" width="14.5" style="857" customWidth="1"/>
    <col min="6405" max="6405" width="16.5" style="857" customWidth="1"/>
    <col min="6406" max="6407" width="15.5" style="857" customWidth="1"/>
    <col min="6408" max="6408" width="16.83203125" style="857" customWidth="1"/>
    <col min="6409" max="6656" width="9.33203125" style="857"/>
    <col min="6657" max="6657" width="6.83203125" style="857" customWidth="1"/>
    <col min="6658" max="6658" width="49.6640625" style="857" customWidth="1"/>
    <col min="6659" max="6660" width="14.5" style="857" customWidth="1"/>
    <col min="6661" max="6661" width="16.5" style="857" customWidth="1"/>
    <col min="6662" max="6663" width="15.5" style="857" customWidth="1"/>
    <col min="6664" max="6664" width="16.83203125" style="857" customWidth="1"/>
    <col min="6665" max="6912" width="9.33203125" style="857"/>
    <col min="6913" max="6913" width="6.83203125" style="857" customWidth="1"/>
    <col min="6914" max="6914" width="49.6640625" style="857" customWidth="1"/>
    <col min="6915" max="6916" width="14.5" style="857" customWidth="1"/>
    <col min="6917" max="6917" width="16.5" style="857" customWidth="1"/>
    <col min="6918" max="6919" width="15.5" style="857" customWidth="1"/>
    <col min="6920" max="6920" width="16.83203125" style="857" customWidth="1"/>
    <col min="6921" max="7168" width="9.33203125" style="857"/>
    <col min="7169" max="7169" width="6.83203125" style="857" customWidth="1"/>
    <col min="7170" max="7170" width="49.6640625" style="857" customWidth="1"/>
    <col min="7171" max="7172" width="14.5" style="857" customWidth="1"/>
    <col min="7173" max="7173" width="16.5" style="857" customWidth="1"/>
    <col min="7174" max="7175" width="15.5" style="857" customWidth="1"/>
    <col min="7176" max="7176" width="16.83203125" style="857" customWidth="1"/>
    <col min="7177" max="7424" width="9.33203125" style="857"/>
    <col min="7425" max="7425" width="6.83203125" style="857" customWidth="1"/>
    <col min="7426" max="7426" width="49.6640625" style="857" customWidth="1"/>
    <col min="7427" max="7428" width="14.5" style="857" customWidth="1"/>
    <col min="7429" max="7429" width="16.5" style="857" customWidth="1"/>
    <col min="7430" max="7431" width="15.5" style="857" customWidth="1"/>
    <col min="7432" max="7432" width="16.83203125" style="857" customWidth="1"/>
    <col min="7433" max="7680" width="9.33203125" style="857"/>
    <col min="7681" max="7681" width="6.83203125" style="857" customWidth="1"/>
    <col min="7682" max="7682" width="49.6640625" style="857" customWidth="1"/>
    <col min="7683" max="7684" width="14.5" style="857" customWidth="1"/>
    <col min="7685" max="7685" width="16.5" style="857" customWidth="1"/>
    <col min="7686" max="7687" width="15.5" style="857" customWidth="1"/>
    <col min="7688" max="7688" width="16.83203125" style="857" customWidth="1"/>
    <col min="7689" max="7936" width="9.33203125" style="857"/>
    <col min="7937" max="7937" width="6.83203125" style="857" customWidth="1"/>
    <col min="7938" max="7938" width="49.6640625" style="857" customWidth="1"/>
    <col min="7939" max="7940" width="14.5" style="857" customWidth="1"/>
    <col min="7941" max="7941" width="16.5" style="857" customWidth="1"/>
    <col min="7942" max="7943" width="15.5" style="857" customWidth="1"/>
    <col min="7944" max="7944" width="16.83203125" style="857" customWidth="1"/>
    <col min="7945" max="8192" width="9.33203125" style="857"/>
    <col min="8193" max="8193" width="6.83203125" style="857" customWidth="1"/>
    <col min="8194" max="8194" width="49.6640625" style="857" customWidth="1"/>
    <col min="8195" max="8196" width="14.5" style="857" customWidth="1"/>
    <col min="8197" max="8197" width="16.5" style="857" customWidth="1"/>
    <col min="8198" max="8199" width="15.5" style="857" customWidth="1"/>
    <col min="8200" max="8200" width="16.83203125" style="857" customWidth="1"/>
    <col min="8201" max="8448" width="9.33203125" style="857"/>
    <col min="8449" max="8449" width="6.83203125" style="857" customWidth="1"/>
    <col min="8450" max="8450" width="49.6640625" style="857" customWidth="1"/>
    <col min="8451" max="8452" width="14.5" style="857" customWidth="1"/>
    <col min="8453" max="8453" width="16.5" style="857" customWidth="1"/>
    <col min="8454" max="8455" width="15.5" style="857" customWidth="1"/>
    <col min="8456" max="8456" width="16.83203125" style="857" customWidth="1"/>
    <col min="8457" max="8704" width="9.33203125" style="857"/>
    <col min="8705" max="8705" width="6.83203125" style="857" customWidth="1"/>
    <col min="8706" max="8706" width="49.6640625" style="857" customWidth="1"/>
    <col min="8707" max="8708" width="14.5" style="857" customWidth="1"/>
    <col min="8709" max="8709" width="16.5" style="857" customWidth="1"/>
    <col min="8710" max="8711" width="15.5" style="857" customWidth="1"/>
    <col min="8712" max="8712" width="16.83203125" style="857" customWidth="1"/>
    <col min="8713" max="8960" width="9.33203125" style="857"/>
    <col min="8961" max="8961" width="6.83203125" style="857" customWidth="1"/>
    <col min="8962" max="8962" width="49.6640625" style="857" customWidth="1"/>
    <col min="8963" max="8964" width="14.5" style="857" customWidth="1"/>
    <col min="8965" max="8965" width="16.5" style="857" customWidth="1"/>
    <col min="8966" max="8967" width="15.5" style="857" customWidth="1"/>
    <col min="8968" max="8968" width="16.83203125" style="857" customWidth="1"/>
    <col min="8969" max="9216" width="9.33203125" style="857"/>
    <col min="9217" max="9217" width="6.83203125" style="857" customWidth="1"/>
    <col min="9218" max="9218" width="49.6640625" style="857" customWidth="1"/>
    <col min="9219" max="9220" width="14.5" style="857" customWidth="1"/>
    <col min="9221" max="9221" width="16.5" style="857" customWidth="1"/>
    <col min="9222" max="9223" width="15.5" style="857" customWidth="1"/>
    <col min="9224" max="9224" width="16.83203125" style="857" customWidth="1"/>
    <col min="9225" max="9472" width="9.33203125" style="857"/>
    <col min="9473" max="9473" width="6.83203125" style="857" customWidth="1"/>
    <col min="9474" max="9474" width="49.6640625" style="857" customWidth="1"/>
    <col min="9475" max="9476" width="14.5" style="857" customWidth="1"/>
    <col min="9477" max="9477" width="16.5" style="857" customWidth="1"/>
    <col min="9478" max="9479" width="15.5" style="857" customWidth="1"/>
    <col min="9480" max="9480" width="16.83203125" style="857" customWidth="1"/>
    <col min="9481" max="9728" width="9.33203125" style="857"/>
    <col min="9729" max="9729" width="6.83203125" style="857" customWidth="1"/>
    <col min="9730" max="9730" width="49.6640625" style="857" customWidth="1"/>
    <col min="9731" max="9732" width="14.5" style="857" customWidth="1"/>
    <col min="9733" max="9733" width="16.5" style="857" customWidth="1"/>
    <col min="9734" max="9735" width="15.5" style="857" customWidth="1"/>
    <col min="9736" max="9736" width="16.83203125" style="857" customWidth="1"/>
    <col min="9737" max="9984" width="9.33203125" style="857"/>
    <col min="9985" max="9985" width="6.83203125" style="857" customWidth="1"/>
    <col min="9986" max="9986" width="49.6640625" style="857" customWidth="1"/>
    <col min="9987" max="9988" width="14.5" style="857" customWidth="1"/>
    <col min="9989" max="9989" width="16.5" style="857" customWidth="1"/>
    <col min="9990" max="9991" width="15.5" style="857" customWidth="1"/>
    <col min="9992" max="9992" width="16.83203125" style="857" customWidth="1"/>
    <col min="9993" max="10240" width="9.33203125" style="857"/>
    <col min="10241" max="10241" width="6.83203125" style="857" customWidth="1"/>
    <col min="10242" max="10242" width="49.6640625" style="857" customWidth="1"/>
    <col min="10243" max="10244" width="14.5" style="857" customWidth="1"/>
    <col min="10245" max="10245" width="16.5" style="857" customWidth="1"/>
    <col min="10246" max="10247" width="15.5" style="857" customWidth="1"/>
    <col min="10248" max="10248" width="16.83203125" style="857" customWidth="1"/>
    <col min="10249" max="10496" width="9.33203125" style="857"/>
    <col min="10497" max="10497" width="6.83203125" style="857" customWidth="1"/>
    <col min="10498" max="10498" width="49.6640625" style="857" customWidth="1"/>
    <col min="10499" max="10500" width="14.5" style="857" customWidth="1"/>
    <col min="10501" max="10501" width="16.5" style="857" customWidth="1"/>
    <col min="10502" max="10503" width="15.5" style="857" customWidth="1"/>
    <col min="10504" max="10504" width="16.83203125" style="857" customWidth="1"/>
    <col min="10505" max="10752" width="9.33203125" style="857"/>
    <col min="10753" max="10753" width="6.83203125" style="857" customWidth="1"/>
    <col min="10754" max="10754" width="49.6640625" style="857" customWidth="1"/>
    <col min="10755" max="10756" width="14.5" style="857" customWidth="1"/>
    <col min="10757" max="10757" width="16.5" style="857" customWidth="1"/>
    <col min="10758" max="10759" width="15.5" style="857" customWidth="1"/>
    <col min="10760" max="10760" width="16.83203125" style="857" customWidth="1"/>
    <col min="10761" max="11008" width="9.33203125" style="857"/>
    <col min="11009" max="11009" width="6.83203125" style="857" customWidth="1"/>
    <col min="11010" max="11010" width="49.6640625" style="857" customWidth="1"/>
    <col min="11011" max="11012" width="14.5" style="857" customWidth="1"/>
    <col min="11013" max="11013" width="16.5" style="857" customWidth="1"/>
    <col min="11014" max="11015" width="15.5" style="857" customWidth="1"/>
    <col min="11016" max="11016" width="16.83203125" style="857" customWidth="1"/>
    <col min="11017" max="11264" width="9.33203125" style="857"/>
    <col min="11265" max="11265" width="6.83203125" style="857" customWidth="1"/>
    <col min="11266" max="11266" width="49.6640625" style="857" customWidth="1"/>
    <col min="11267" max="11268" width="14.5" style="857" customWidth="1"/>
    <col min="11269" max="11269" width="16.5" style="857" customWidth="1"/>
    <col min="11270" max="11271" width="15.5" style="857" customWidth="1"/>
    <col min="11272" max="11272" width="16.83203125" style="857" customWidth="1"/>
    <col min="11273" max="11520" width="9.33203125" style="857"/>
    <col min="11521" max="11521" width="6.83203125" style="857" customWidth="1"/>
    <col min="11522" max="11522" width="49.6640625" style="857" customWidth="1"/>
    <col min="11523" max="11524" width="14.5" style="857" customWidth="1"/>
    <col min="11525" max="11525" width="16.5" style="857" customWidth="1"/>
    <col min="11526" max="11527" width="15.5" style="857" customWidth="1"/>
    <col min="11528" max="11528" width="16.83203125" style="857" customWidth="1"/>
    <col min="11529" max="11776" width="9.33203125" style="857"/>
    <col min="11777" max="11777" width="6.83203125" style="857" customWidth="1"/>
    <col min="11778" max="11778" width="49.6640625" style="857" customWidth="1"/>
    <col min="11779" max="11780" width="14.5" style="857" customWidth="1"/>
    <col min="11781" max="11781" width="16.5" style="857" customWidth="1"/>
    <col min="11782" max="11783" width="15.5" style="857" customWidth="1"/>
    <col min="11784" max="11784" width="16.83203125" style="857" customWidth="1"/>
    <col min="11785" max="12032" width="9.33203125" style="857"/>
    <col min="12033" max="12033" width="6.83203125" style="857" customWidth="1"/>
    <col min="12034" max="12034" width="49.6640625" style="857" customWidth="1"/>
    <col min="12035" max="12036" width="14.5" style="857" customWidth="1"/>
    <col min="12037" max="12037" width="16.5" style="857" customWidth="1"/>
    <col min="12038" max="12039" width="15.5" style="857" customWidth="1"/>
    <col min="12040" max="12040" width="16.83203125" style="857" customWidth="1"/>
    <col min="12041" max="12288" width="9.33203125" style="857"/>
    <col min="12289" max="12289" width="6.83203125" style="857" customWidth="1"/>
    <col min="12290" max="12290" width="49.6640625" style="857" customWidth="1"/>
    <col min="12291" max="12292" width="14.5" style="857" customWidth="1"/>
    <col min="12293" max="12293" width="16.5" style="857" customWidth="1"/>
    <col min="12294" max="12295" width="15.5" style="857" customWidth="1"/>
    <col min="12296" max="12296" width="16.83203125" style="857" customWidth="1"/>
    <col min="12297" max="12544" width="9.33203125" style="857"/>
    <col min="12545" max="12545" width="6.83203125" style="857" customWidth="1"/>
    <col min="12546" max="12546" width="49.6640625" style="857" customWidth="1"/>
    <col min="12547" max="12548" width="14.5" style="857" customWidth="1"/>
    <col min="12549" max="12549" width="16.5" style="857" customWidth="1"/>
    <col min="12550" max="12551" width="15.5" style="857" customWidth="1"/>
    <col min="12552" max="12552" width="16.83203125" style="857" customWidth="1"/>
    <col min="12553" max="12800" width="9.33203125" style="857"/>
    <col min="12801" max="12801" width="6.83203125" style="857" customWidth="1"/>
    <col min="12802" max="12802" width="49.6640625" style="857" customWidth="1"/>
    <col min="12803" max="12804" width="14.5" style="857" customWidth="1"/>
    <col min="12805" max="12805" width="16.5" style="857" customWidth="1"/>
    <col min="12806" max="12807" width="15.5" style="857" customWidth="1"/>
    <col min="12808" max="12808" width="16.83203125" style="857" customWidth="1"/>
    <col min="12809" max="13056" width="9.33203125" style="857"/>
    <col min="13057" max="13057" width="6.83203125" style="857" customWidth="1"/>
    <col min="13058" max="13058" width="49.6640625" style="857" customWidth="1"/>
    <col min="13059" max="13060" width="14.5" style="857" customWidth="1"/>
    <col min="13061" max="13061" width="16.5" style="857" customWidth="1"/>
    <col min="13062" max="13063" width="15.5" style="857" customWidth="1"/>
    <col min="13064" max="13064" width="16.83203125" style="857" customWidth="1"/>
    <col min="13065" max="13312" width="9.33203125" style="857"/>
    <col min="13313" max="13313" width="6.83203125" style="857" customWidth="1"/>
    <col min="13314" max="13314" width="49.6640625" style="857" customWidth="1"/>
    <col min="13315" max="13316" width="14.5" style="857" customWidth="1"/>
    <col min="13317" max="13317" width="16.5" style="857" customWidth="1"/>
    <col min="13318" max="13319" width="15.5" style="857" customWidth="1"/>
    <col min="13320" max="13320" width="16.83203125" style="857" customWidth="1"/>
    <col min="13321" max="13568" width="9.33203125" style="857"/>
    <col min="13569" max="13569" width="6.83203125" style="857" customWidth="1"/>
    <col min="13570" max="13570" width="49.6640625" style="857" customWidth="1"/>
    <col min="13571" max="13572" width="14.5" style="857" customWidth="1"/>
    <col min="13573" max="13573" width="16.5" style="857" customWidth="1"/>
    <col min="13574" max="13575" width="15.5" style="857" customWidth="1"/>
    <col min="13576" max="13576" width="16.83203125" style="857" customWidth="1"/>
    <col min="13577" max="13824" width="9.33203125" style="857"/>
    <col min="13825" max="13825" width="6.83203125" style="857" customWidth="1"/>
    <col min="13826" max="13826" width="49.6640625" style="857" customWidth="1"/>
    <col min="13827" max="13828" width="14.5" style="857" customWidth="1"/>
    <col min="13829" max="13829" width="16.5" style="857" customWidth="1"/>
    <col min="13830" max="13831" width="15.5" style="857" customWidth="1"/>
    <col min="13832" max="13832" width="16.83203125" style="857" customWidth="1"/>
    <col min="13833" max="14080" width="9.33203125" style="857"/>
    <col min="14081" max="14081" width="6.83203125" style="857" customWidth="1"/>
    <col min="14082" max="14082" width="49.6640625" style="857" customWidth="1"/>
    <col min="14083" max="14084" width="14.5" style="857" customWidth="1"/>
    <col min="14085" max="14085" width="16.5" style="857" customWidth="1"/>
    <col min="14086" max="14087" width="15.5" style="857" customWidth="1"/>
    <col min="14088" max="14088" width="16.83203125" style="857" customWidth="1"/>
    <col min="14089" max="14336" width="9.33203125" style="857"/>
    <col min="14337" max="14337" width="6.83203125" style="857" customWidth="1"/>
    <col min="14338" max="14338" width="49.6640625" style="857" customWidth="1"/>
    <col min="14339" max="14340" width="14.5" style="857" customWidth="1"/>
    <col min="14341" max="14341" width="16.5" style="857" customWidth="1"/>
    <col min="14342" max="14343" width="15.5" style="857" customWidth="1"/>
    <col min="14344" max="14344" width="16.83203125" style="857" customWidth="1"/>
    <col min="14345" max="14592" width="9.33203125" style="857"/>
    <col min="14593" max="14593" width="6.83203125" style="857" customWidth="1"/>
    <col min="14594" max="14594" width="49.6640625" style="857" customWidth="1"/>
    <col min="14595" max="14596" width="14.5" style="857" customWidth="1"/>
    <col min="14597" max="14597" width="16.5" style="857" customWidth="1"/>
    <col min="14598" max="14599" width="15.5" style="857" customWidth="1"/>
    <col min="14600" max="14600" width="16.83203125" style="857" customWidth="1"/>
    <col min="14601" max="14848" width="9.33203125" style="857"/>
    <col min="14849" max="14849" width="6.83203125" style="857" customWidth="1"/>
    <col min="14850" max="14850" width="49.6640625" style="857" customWidth="1"/>
    <col min="14851" max="14852" width="14.5" style="857" customWidth="1"/>
    <col min="14853" max="14853" width="16.5" style="857" customWidth="1"/>
    <col min="14854" max="14855" width="15.5" style="857" customWidth="1"/>
    <col min="14856" max="14856" width="16.83203125" style="857" customWidth="1"/>
    <col min="14857" max="15104" width="9.33203125" style="857"/>
    <col min="15105" max="15105" width="6.83203125" style="857" customWidth="1"/>
    <col min="15106" max="15106" width="49.6640625" style="857" customWidth="1"/>
    <col min="15107" max="15108" width="14.5" style="857" customWidth="1"/>
    <col min="15109" max="15109" width="16.5" style="857" customWidth="1"/>
    <col min="15110" max="15111" width="15.5" style="857" customWidth="1"/>
    <col min="15112" max="15112" width="16.83203125" style="857" customWidth="1"/>
    <col min="15113" max="15360" width="9.33203125" style="857"/>
    <col min="15361" max="15361" width="6.83203125" style="857" customWidth="1"/>
    <col min="15362" max="15362" width="49.6640625" style="857" customWidth="1"/>
    <col min="15363" max="15364" width="14.5" style="857" customWidth="1"/>
    <col min="15365" max="15365" width="16.5" style="857" customWidth="1"/>
    <col min="15366" max="15367" width="15.5" style="857" customWidth="1"/>
    <col min="15368" max="15368" width="16.83203125" style="857" customWidth="1"/>
    <col min="15369" max="15616" width="9.33203125" style="857"/>
    <col min="15617" max="15617" width="6.83203125" style="857" customWidth="1"/>
    <col min="15618" max="15618" width="49.6640625" style="857" customWidth="1"/>
    <col min="15619" max="15620" width="14.5" style="857" customWidth="1"/>
    <col min="15621" max="15621" width="16.5" style="857" customWidth="1"/>
    <col min="15622" max="15623" width="15.5" style="857" customWidth="1"/>
    <col min="15624" max="15624" width="16.83203125" style="857" customWidth="1"/>
    <col min="15625" max="15872" width="9.33203125" style="857"/>
    <col min="15873" max="15873" width="6.83203125" style="857" customWidth="1"/>
    <col min="15874" max="15874" width="49.6640625" style="857" customWidth="1"/>
    <col min="15875" max="15876" width="14.5" style="857" customWidth="1"/>
    <col min="15877" max="15877" width="16.5" style="857" customWidth="1"/>
    <col min="15878" max="15879" width="15.5" style="857" customWidth="1"/>
    <col min="15880" max="15880" width="16.83203125" style="857" customWidth="1"/>
    <col min="15881" max="16128" width="9.33203125" style="857"/>
    <col min="16129" max="16129" width="6.83203125" style="857" customWidth="1"/>
    <col min="16130" max="16130" width="49.6640625" style="857" customWidth="1"/>
    <col min="16131" max="16132" width="14.5" style="857" customWidth="1"/>
    <col min="16133" max="16133" width="16.5" style="857" customWidth="1"/>
    <col min="16134" max="16135" width="15.5" style="857" customWidth="1"/>
    <col min="16136" max="16136" width="16.83203125" style="857" customWidth="1"/>
    <col min="16137" max="16384" width="9.33203125" style="857"/>
  </cols>
  <sheetData>
    <row r="1" spans="1:8" s="828" customFormat="1" ht="15.75" thickBot="1" x14ac:dyDescent="0.25">
      <c r="A1" s="827"/>
      <c r="H1" s="829" t="s">
        <v>956</v>
      </c>
    </row>
    <row r="2" spans="1:8" s="833" customFormat="1" ht="26.25" customHeight="1" x14ac:dyDescent="0.2">
      <c r="A2" s="1632" t="s">
        <v>80</v>
      </c>
      <c r="B2" s="1633" t="s">
        <v>957</v>
      </c>
      <c r="C2" s="1632" t="s">
        <v>958</v>
      </c>
      <c r="D2" s="1632" t="s">
        <v>959</v>
      </c>
      <c r="E2" s="830" t="s">
        <v>960</v>
      </c>
      <c r="F2" s="831"/>
      <c r="G2" s="831"/>
      <c r="H2" s="832"/>
    </row>
    <row r="3" spans="1:8" s="834" customFormat="1" ht="32.25" customHeight="1" thickBot="1" x14ac:dyDescent="0.25">
      <c r="A3" s="1616"/>
      <c r="B3" s="1618"/>
      <c r="C3" s="1618"/>
      <c r="D3" s="1616"/>
      <c r="E3" s="984" t="s">
        <v>867</v>
      </c>
      <c r="F3" s="984" t="s">
        <v>1039</v>
      </c>
      <c r="G3" s="984" t="s">
        <v>1830</v>
      </c>
      <c r="H3" s="946" t="s">
        <v>1831</v>
      </c>
    </row>
    <row r="4" spans="1:8" s="839" customFormat="1" ht="18.75" customHeight="1" thickBot="1" x14ac:dyDescent="0.25">
      <c r="A4" s="835">
        <v>1</v>
      </c>
      <c r="B4" s="836">
        <v>2</v>
      </c>
      <c r="C4" s="836">
        <v>3</v>
      </c>
      <c r="D4" s="837">
        <v>4</v>
      </c>
      <c r="E4" s="835">
        <v>5</v>
      </c>
      <c r="F4" s="837">
        <v>6</v>
      </c>
      <c r="G4" s="837">
        <v>7</v>
      </c>
      <c r="H4" s="838">
        <v>8</v>
      </c>
    </row>
    <row r="5" spans="1:8" s="847" customFormat="1" ht="20.100000000000001" customHeight="1" thickBot="1" x14ac:dyDescent="0.25">
      <c r="A5" s="840" t="s">
        <v>2</v>
      </c>
      <c r="B5" s="841" t="s">
        <v>961</v>
      </c>
      <c r="C5" s="842"/>
      <c r="D5" s="843"/>
      <c r="E5" s="844">
        <f>SUM(E6:E9)</f>
        <v>0</v>
      </c>
      <c r="F5" s="845">
        <f>SUM(F6:F9)</f>
        <v>0</v>
      </c>
      <c r="G5" s="845">
        <f>SUM(G6:G9)</f>
        <v>0</v>
      </c>
      <c r="H5" s="846">
        <f>SUM(H6:H9)</f>
        <v>0</v>
      </c>
    </row>
    <row r="6" spans="1:8" s="847" customFormat="1" ht="20.100000000000001" customHeight="1" x14ac:dyDescent="0.2">
      <c r="A6" s="985" t="s">
        <v>3</v>
      </c>
      <c r="B6" s="986"/>
      <c r="C6" s="1029"/>
      <c r="D6" s="987"/>
      <c r="E6" s="1030">
        <v>0</v>
      </c>
      <c r="F6" s="989"/>
      <c r="G6" s="989"/>
      <c r="H6" s="991"/>
    </row>
    <row r="7" spans="1:8" s="847" customFormat="1" ht="20.100000000000001" customHeight="1" x14ac:dyDescent="0.2">
      <c r="A7" s="985" t="s">
        <v>12</v>
      </c>
      <c r="B7" s="986"/>
      <c r="C7" s="1029"/>
      <c r="D7" s="987"/>
      <c r="E7" s="1030"/>
      <c r="F7" s="989"/>
      <c r="G7" s="989"/>
      <c r="H7" s="991"/>
    </row>
    <row r="8" spans="1:8" s="847" customFormat="1" ht="20.100000000000001" customHeight="1" x14ac:dyDescent="0.2">
      <c r="A8" s="985" t="s">
        <v>68</v>
      </c>
      <c r="B8" s="986"/>
      <c r="C8" s="1029"/>
      <c r="D8" s="987"/>
      <c r="E8" s="1030"/>
      <c r="F8" s="989"/>
      <c r="G8" s="989"/>
      <c r="H8" s="991"/>
    </row>
    <row r="9" spans="1:8" s="847" customFormat="1" ht="20.100000000000001" customHeight="1" thickBot="1" x14ac:dyDescent="0.25">
      <c r="A9" s="985" t="s">
        <v>27</v>
      </c>
      <c r="B9" s="986"/>
      <c r="C9" s="1029"/>
      <c r="D9" s="987"/>
      <c r="E9" s="1030"/>
      <c r="F9" s="989"/>
      <c r="G9" s="989"/>
      <c r="H9" s="991"/>
    </row>
    <row r="10" spans="1:8" s="847" customFormat="1" ht="20.100000000000001" customHeight="1" thickBot="1" x14ac:dyDescent="0.25">
      <c r="A10" s="840" t="s">
        <v>32</v>
      </c>
      <c r="B10" s="841" t="s">
        <v>962</v>
      </c>
      <c r="C10" s="842"/>
      <c r="D10" s="843"/>
      <c r="E10" s="1431">
        <f>SUM(E11:E16)</f>
        <v>895376</v>
      </c>
      <c r="F10" s="1431">
        <f t="shared" ref="F10:H10" si="0">SUM(F11:F16)</f>
        <v>0</v>
      </c>
      <c r="G10" s="1431">
        <f t="shared" si="0"/>
        <v>0</v>
      </c>
      <c r="H10" s="1431">
        <f t="shared" si="0"/>
        <v>0</v>
      </c>
    </row>
    <row r="11" spans="1:8" s="847" customFormat="1" ht="39.75" customHeight="1" x14ac:dyDescent="0.2">
      <c r="A11" s="985" t="s">
        <v>74</v>
      </c>
      <c r="B11" s="986" t="s">
        <v>963</v>
      </c>
      <c r="C11" s="1029">
        <v>2010</v>
      </c>
      <c r="D11" s="987">
        <v>2030</v>
      </c>
      <c r="E11" s="1030">
        <v>194202</v>
      </c>
      <c r="F11" s="1430">
        <v>0</v>
      </c>
      <c r="G11" s="1430">
        <v>0</v>
      </c>
      <c r="H11" s="1430">
        <v>0</v>
      </c>
    </row>
    <row r="12" spans="1:8" s="847" customFormat="1" ht="25.5" customHeight="1" x14ac:dyDescent="0.2">
      <c r="A12" s="985" t="s">
        <v>38</v>
      </c>
      <c r="B12" s="986" t="s">
        <v>963</v>
      </c>
      <c r="C12" s="1029">
        <v>2011</v>
      </c>
      <c r="D12" s="987">
        <v>2031</v>
      </c>
      <c r="E12" s="1030">
        <v>80000</v>
      </c>
      <c r="F12" s="1430">
        <v>0</v>
      </c>
      <c r="G12" s="1430">
        <v>0</v>
      </c>
      <c r="H12" s="1430">
        <v>0</v>
      </c>
    </row>
    <row r="13" spans="1:8" s="847" customFormat="1" ht="25.5" customHeight="1" x14ac:dyDescent="0.2">
      <c r="A13" s="985" t="s">
        <v>88</v>
      </c>
      <c r="B13" s="986" t="s">
        <v>964</v>
      </c>
      <c r="C13" s="1029">
        <v>2007</v>
      </c>
      <c r="D13" s="987">
        <v>2027</v>
      </c>
      <c r="E13" s="1030">
        <v>487453</v>
      </c>
      <c r="F13" s="1430">
        <v>0</v>
      </c>
      <c r="G13" s="1430">
        <v>0</v>
      </c>
      <c r="H13" s="1430">
        <v>0</v>
      </c>
    </row>
    <row r="14" spans="1:8" s="847" customFormat="1" ht="20.100000000000001" customHeight="1" x14ac:dyDescent="0.2">
      <c r="A14" s="985" t="s">
        <v>41</v>
      </c>
      <c r="B14" s="986" t="s">
        <v>965</v>
      </c>
      <c r="C14" s="1029">
        <v>2008</v>
      </c>
      <c r="D14" s="987">
        <v>2027</v>
      </c>
      <c r="E14" s="1030">
        <v>56471</v>
      </c>
      <c r="F14" s="1430">
        <v>0</v>
      </c>
      <c r="G14" s="1430">
        <v>0</v>
      </c>
      <c r="H14" s="1430">
        <v>0</v>
      </c>
    </row>
    <row r="15" spans="1:8" s="847" customFormat="1" ht="33" customHeight="1" thickBot="1" x14ac:dyDescent="0.25">
      <c r="A15" s="848" t="s">
        <v>42</v>
      </c>
      <c r="B15" s="986" t="s">
        <v>872</v>
      </c>
      <c r="C15" s="1029" t="s">
        <v>966</v>
      </c>
      <c r="D15" s="987">
        <v>2028</v>
      </c>
      <c r="E15" s="1030">
        <v>77250</v>
      </c>
      <c r="F15" s="1430">
        <v>0</v>
      </c>
      <c r="G15" s="1430">
        <v>0</v>
      </c>
      <c r="H15" s="1430">
        <v>0</v>
      </c>
    </row>
    <row r="16" spans="1:8" s="847" customFormat="1" ht="30.75" hidden="1" customHeight="1" thickBot="1" x14ac:dyDescent="0.25">
      <c r="A16" s="849" t="s">
        <v>45</v>
      </c>
      <c r="F16" s="989"/>
      <c r="G16" s="989"/>
      <c r="H16" s="991"/>
    </row>
    <row r="17" spans="1:8" s="855" customFormat="1" ht="20.100000000000001" customHeight="1" thickBot="1" x14ac:dyDescent="0.25">
      <c r="A17" s="850" t="s">
        <v>47</v>
      </c>
      <c r="B17" s="851" t="s">
        <v>967</v>
      </c>
      <c r="C17" s="852"/>
      <c r="D17" s="853"/>
      <c r="E17" s="854">
        <f>E5+E10</f>
        <v>895376</v>
      </c>
      <c r="F17" s="1432">
        <f>F5+F10</f>
        <v>0</v>
      </c>
      <c r="G17" s="1432">
        <f>G5+G10</f>
        <v>0</v>
      </c>
      <c r="H17" s="1433">
        <f>H5+H10</f>
        <v>0</v>
      </c>
    </row>
    <row r="18" spans="1:8" ht="20.100000000000001" customHeight="1" x14ac:dyDescent="0.2"/>
  </sheetData>
  <mergeCells count="4">
    <mergeCell ref="A2:A3"/>
    <mergeCell ref="B2:B3"/>
    <mergeCell ref="C2:C3"/>
    <mergeCell ref="D2:D3"/>
  </mergeCells>
  <printOptions horizontalCentered="1"/>
  <pageMargins left="0.47244094488188981" right="0.27559055118110237" top="1.1811023622047245" bottom="0.98425196850393704" header="0.59055118110236227" footer="0.35433070866141736"/>
  <pageSetup paperSize="9" firstPageNumber="153" orientation="landscape" useFirstPageNumber="1" r:id="rId1"/>
  <headerFooter alignWithMargins="0">
    <oddHeader>&amp;C&amp;"Times New Roman CE,Félkövér"&amp;12Vecsés Város Önkormányzatának nyújtott hitel és kölcsön alakulása
 lejárat és eszközök szerinti bontásban&amp;R&amp;"Times New Roman CE,Félkövér dőlt"&amp;11 14. számú melléklet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115" zoomScaleNormal="115" workbookViewId="0">
      <selection activeCell="K14" sqref="K14"/>
    </sheetView>
  </sheetViews>
  <sheetFormatPr defaultRowHeight="15" x14ac:dyDescent="0.25"/>
  <cols>
    <col min="1" max="1" width="35.6640625" style="1465" customWidth="1"/>
    <col min="2" max="2" width="6" style="1465" customWidth="1"/>
    <col min="3" max="5" width="11.6640625" style="1465" customWidth="1"/>
    <col min="6" max="6" width="13.33203125" style="1465" customWidth="1"/>
    <col min="7" max="256" width="9.33203125" style="1465"/>
    <col min="257" max="257" width="35.6640625" style="1465" customWidth="1"/>
    <col min="258" max="258" width="6" style="1465" customWidth="1"/>
    <col min="259" max="261" width="11.6640625" style="1465" customWidth="1"/>
    <col min="262" max="262" width="13.33203125" style="1465" customWidth="1"/>
    <col min="263" max="512" width="9.33203125" style="1465"/>
    <col min="513" max="513" width="35.6640625" style="1465" customWidth="1"/>
    <col min="514" max="514" width="6" style="1465" customWidth="1"/>
    <col min="515" max="517" width="11.6640625" style="1465" customWidth="1"/>
    <col min="518" max="518" width="13.33203125" style="1465" customWidth="1"/>
    <col min="519" max="768" width="9.33203125" style="1465"/>
    <col min="769" max="769" width="35.6640625" style="1465" customWidth="1"/>
    <col min="770" max="770" width="6" style="1465" customWidth="1"/>
    <col min="771" max="773" width="11.6640625" style="1465" customWidth="1"/>
    <col min="774" max="774" width="13.33203125" style="1465" customWidth="1"/>
    <col min="775" max="1024" width="9.33203125" style="1465"/>
    <col min="1025" max="1025" width="35.6640625" style="1465" customWidth="1"/>
    <col min="1026" max="1026" width="6" style="1465" customWidth="1"/>
    <col min="1027" max="1029" width="11.6640625" style="1465" customWidth="1"/>
    <col min="1030" max="1030" width="13.33203125" style="1465" customWidth="1"/>
    <col min="1031" max="1280" width="9.33203125" style="1465"/>
    <col min="1281" max="1281" width="35.6640625" style="1465" customWidth="1"/>
    <col min="1282" max="1282" width="6" style="1465" customWidth="1"/>
    <col min="1283" max="1285" width="11.6640625" style="1465" customWidth="1"/>
    <col min="1286" max="1286" width="13.33203125" style="1465" customWidth="1"/>
    <col min="1287" max="1536" width="9.33203125" style="1465"/>
    <col min="1537" max="1537" width="35.6640625" style="1465" customWidth="1"/>
    <col min="1538" max="1538" width="6" style="1465" customWidth="1"/>
    <col min="1539" max="1541" width="11.6640625" style="1465" customWidth="1"/>
    <col min="1542" max="1542" width="13.33203125" style="1465" customWidth="1"/>
    <col min="1543" max="1792" width="9.33203125" style="1465"/>
    <col min="1793" max="1793" width="35.6640625" style="1465" customWidth="1"/>
    <col min="1794" max="1794" width="6" style="1465" customWidth="1"/>
    <col min="1795" max="1797" width="11.6640625" style="1465" customWidth="1"/>
    <col min="1798" max="1798" width="13.33203125" style="1465" customWidth="1"/>
    <col min="1799" max="2048" width="9.33203125" style="1465"/>
    <col min="2049" max="2049" width="35.6640625" style="1465" customWidth="1"/>
    <col min="2050" max="2050" width="6" style="1465" customWidth="1"/>
    <col min="2051" max="2053" width="11.6640625" style="1465" customWidth="1"/>
    <col min="2054" max="2054" width="13.33203125" style="1465" customWidth="1"/>
    <col min="2055" max="2304" width="9.33203125" style="1465"/>
    <col min="2305" max="2305" width="35.6640625" style="1465" customWidth="1"/>
    <col min="2306" max="2306" width="6" style="1465" customWidth="1"/>
    <col min="2307" max="2309" width="11.6640625" style="1465" customWidth="1"/>
    <col min="2310" max="2310" width="13.33203125" style="1465" customWidth="1"/>
    <col min="2311" max="2560" width="9.33203125" style="1465"/>
    <col min="2561" max="2561" width="35.6640625" style="1465" customWidth="1"/>
    <col min="2562" max="2562" width="6" style="1465" customWidth="1"/>
    <col min="2563" max="2565" width="11.6640625" style="1465" customWidth="1"/>
    <col min="2566" max="2566" width="13.33203125" style="1465" customWidth="1"/>
    <col min="2567" max="2816" width="9.33203125" style="1465"/>
    <col min="2817" max="2817" width="35.6640625" style="1465" customWidth="1"/>
    <col min="2818" max="2818" width="6" style="1465" customWidth="1"/>
    <col min="2819" max="2821" width="11.6640625" style="1465" customWidth="1"/>
    <col min="2822" max="2822" width="13.33203125" style="1465" customWidth="1"/>
    <col min="2823" max="3072" width="9.33203125" style="1465"/>
    <col min="3073" max="3073" width="35.6640625" style="1465" customWidth="1"/>
    <col min="3074" max="3074" width="6" style="1465" customWidth="1"/>
    <col min="3075" max="3077" width="11.6640625" style="1465" customWidth="1"/>
    <col min="3078" max="3078" width="13.33203125" style="1465" customWidth="1"/>
    <col min="3079" max="3328" width="9.33203125" style="1465"/>
    <col min="3329" max="3329" width="35.6640625" style="1465" customWidth="1"/>
    <col min="3330" max="3330" width="6" style="1465" customWidth="1"/>
    <col min="3331" max="3333" width="11.6640625" style="1465" customWidth="1"/>
    <col min="3334" max="3334" width="13.33203125" style="1465" customWidth="1"/>
    <col min="3335" max="3584" width="9.33203125" style="1465"/>
    <col min="3585" max="3585" width="35.6640625" style="1465" customWidth="1"/>
    <col min="3586" max="3586" width="6" style="1465" customWidth="1"/>
    <col min="3587" max="3589" width="11.6640625" style="1465" customWidth="1"/>
    <col min="3590" max="3590" width="13.33203125" style="1465" customWidth="1"/>
    <col min="3591" max="3840" width="9.33203125" style="1465"/>
    <col min="3841" max="3841" width="35.6640625" style="1465" customWidth="1"/>
    <col min="3842" max="3842" width="6" style="1465" customWidth="1"/>
    <col min="3843" max="3845" width="11.6640625" style="1465" customWidth="1"/>
    <col min="3846" max="3846" width="13.33203125" style="1465" customWidth="1"/>
    <col min="3847" max="4096" width="9.33203125" style="1465"/>
    <col min="4097" max="4097" width="35.6640625" style="1465" customWidth="1"/>
    <col min="4098" max="4098" width="6" style="1465" customWidth="1"/>
    <col min="4099" max="4101" width="11.6640625" style="1465" customWidth="1"/>
    <col min="4102" max="4102" width="13.33203125" style="1465" customWidth="1"/>
    <col min="4103" max="4352" width="9.33203125" style="1465"/>
    <col min="4353" max="4353" width="35.6640625" style="1465" customWidth="1"/>
    <col min="4354" max="4354" width="6" style="1465" customWidth="1"/>
    <col min="4355" max="4357" width="11.6640625" style="1465" customWidth="1"/>
    <col min="4358" max="4358" width="13.33203125" style="1465" customWidth="1"/>
    <col min="4359" max="4608" width="9.33203125" style="1465"/>
    <col min="4609" max="4609" width="35.6640625" style="1465" customWidth="1"/>
    <col min="4610" max="4610" width="6" style="1465" customWidth="1"/>
    <col min="4611" max="4613" width="11.6640625" style="1465" customWidth="1"/>
    <col min="4614" max="4614" width="13.33203125" style="1465" customWidth="1"/>
    <col min="4615" max="4864" width="9.33203125" style="1465"/>
    <col min="4865" max="4865" width="35.6640625" style="1465" customWidth="1"/>
    <col min="4866" max="4866" width="6" style="1465" customWidth="1"/>
    <col min="4867" max="4869" width="11.6640625" style="1465" customWidth="1"/>
    <col min="4870" max="4870" width="13.33203125" style="1465" customWidth="1"/>
    <col min="4871" max="5120" width="9.33203125" style="1465"/>
    <col min="5121" max="5121" width="35.6640625" style="1465" customWidth="1"/>
    <col min="5122" max="5122" width="6" style="1465" customWidth="1"/>
    <col min="5123" max="5125" width="11.6640625" style="1465" customWidth="1"/>
    <col min="5126" max="5126" width="13.33203125" style="1465" customWidth="1"/>
    <col min="5127" max="5376" width="9.33203125" style="1465"/>
    <col min="5377" max="5377" width="35.6640625" style="1465" customWidth="1"/>
    <col min="5378" max="5378" width="6" style="1465" customWidth="1"/>
    <col min="5379" max="5381" width="11.6640625" style="1465" customWidth="1"/>
    <col min="5382" max="5382" width="13.33203125" style="1465" customWidth="1"/>
    <col min="5383" max="5632" width="9.33203125" style="1465"/>
    <col min="5633" max="5633" width="35.6640625" style="1465" customWidth="1"/>
    <col min="5634" max="5634" width="6" style="1465" customWidth="1"/>
    <col min="5635" max="5637" width="11.6640625" style="1465" customWidth="1"/>
    <col min="5638" max="5638" width="13.33203125" style="1465" customWidth="1"/>
    <col min="5639" max="5888" width="9.33203125" style="1465"/>
    <col min="5889" max="5889" width="35.6640625" style="1465" customWidth="1"/>
    <col min="5890" max="5890" width="6" style="1465" customWidth="1"/>
    <col min="5891" max="5893" width="11.6640625" style="1465" customWidth="1"/>
    <col min="5894" max="5894" width="13.33203125" style="1465" customWidth="1"/>
    <col min="5895" max="6144" width="9.33203125" style="1465"/>
    <col min="6145" max="6145" width="35.6640625" style="1465" customWidth="1"/>
    <col min="6146" max="6146" width="6" style="1465" customWidth="1"/>
    <col min="6147" max="6149" width="11.6640625" style="1465" customWidth="1"/>
    <col min="6150" max="6150" width="13.33203125" style="1465" customWidth="1"/>
    <col min="6151" max="6400" width="9.33203125" style="1465"/>
    <col min="6401" max="6401" width="35.6640625" style="1465" customWidth="1"/>
    <col min="6402" max="6402" width="6" style="1465" customWidth="1"/>
    <col min="6403" max="6405" width="11.6640625" style="1465" customWidth="1"/>
    <col min="6406" max="6406" width="13.33203125" style="1465" customWidth="1"/>
    <col min="6407" max="6656" width="9.33203125" style="1465"/>
    <col min="6657" max="6657" width="35.6640625" style="1465" customWidth="1"/>
    <col min="6658" max="6658" width="6" style="1465" customWidth="1"/>
    <col min="6659" max="6661" width="11.6640625" style="1465" customWidth="1"/>
    <col min="6662" max="6662" width="13.33203125" style="1465" customWidth="1"/>
    <col min="6663" max="6912" width="9.33203125" style="1465"/>
    <col min="6913" max="6913" width="35.6640625" style="1465" customWidth="1"/>
    <col min="6914" max="6914" width="6" style="1465" customWidth="1"/>
    <col min="6915" max="6917" width="11.6640625" style="1465" customWidth="1"/>
    <col min="6918" max="6918" width="13.33203125" style="1465" customWidth="1"/>
    <col min="6919" max="7168" width="9.33203125" style="1465"/>
    <col min="7169" max="7169" width="35.6640625" style="1465" customWidth="1"/>
    <col min="7170" max="7170" width="6" style="1465" customWidth="1"/>
    <col min="7171" max="7173" width="11.6640625" style="1465" customWidth="1"/>
    <col min="7174" max="7174" width="13.33203125" style="1465" customWidth="1"/>
    <col min="7175" max="7424" width="9.33203125" style="1465"/>
    <col min="7425" max="7425" width="35.6640625" style="1465" customWidth="1"/>
    <col min="7426" max="7426" width="6" style="1465" customWidth="1"/>
    <col min="7427" max="7429" width="11.6640625" style="1465" customWidth="1"/>
    <col min="7430" max="7430" width="13.33203125" style="1465" customWidth="1"/>
    <col min="7431" max="7680" width="9.33203125" style="1465"/>
    <col min="7681" max="7681" width="35.6640625" style="1465" customWidth="1"/>
    <col min="7682" max="7682" width="6" style="1465" customWidth="1"/>
    <col min="7683" max="7685" width="11.6640625" style="1465" customWidth="1"/>
    <col min="7686" max="7686" width="13.33203125" style="1465" customWidth="1"/>
    <col min="7687" max="7936" width="9.33203125" style="1465"/>
    <col min="7937" max="7937" width="35.6640625" style="1465" customWidth="1"/>
    <col min="7938" max="7938" width="6" style="1465" customWidth="1"/>
    <col min="7939" max="7941" width="11.6640625" style="1465" customWidth="1"/>
    <col min="7942" max="7942" width="13.33203125" style="1465" customWidth="1"/>
    <col min="7943" max="8192" width="9.33203125" style="1465"/>
    <col min="8193" max="8193" width="35.6640625" style="1465" customWidth="1"/>
    <col min="8194" max="8194" width="6" style="1465" customWidth="1"/>
    <col min="8195" max="8197" width="11.6640625" style="1465" customWidth="1"/>
    <col min="8198" max="8198" width="13.33203125" style="1465" customWidth="1"/>
    <col min="8199" max="8448" width="9.33203125" style="1465"/>
    <col min="8449" max="8449" width="35.6640625" style="1465" customWidth="1"/>
    <col min="8450" max="8450" width="6" style="1465" customWidth="1"/>
    <col min="8451" max="8453" width="11.6640625" style="1465" customWidth="1"/>
    <col min="8454" max="8454" width="13.33203125" style="1465" customWidth="1"/>
    <col min="8455" max="8704" width="9.33203125" style="1465"/>
    <col min="8705" max="8705" width="35.6640625" style="1465" customWidth="1"/>
    <col min="8706" max="8706" width="6" style="1465" customWidth="1"/>
    <col min="8707" max="8709" width="11.6640625" style="1465" customWidth="1"/>
    <col min="8710" max="8710" width="13.33203125" style="1465" customWidth="1"/>
    <col min="8711" max="8960" width="9.33203125" style="1465"/>
    <col min="8961" max="8961" width="35.6640625" style="1465" customWidth="1"/>
    <col min="8962" max="8962" width="6" style="1465" customWidth="1"/>
    <col min="8963" max="8965" width="11.6640625" style="1465" customWidth="1"/>
    <col min="8966" max="8966" width="13.33203125" style="1465" customWidth="1"/>
    <col min="8967" max="9216" width="9.33203125" style="1465"/>
    <col min="9217" max="9217" width="35.6640625" style="1465" customWidth="1"/>
    <col min="9218" max="9218" width="6" style="1465" customWidth="1"/>
    <col min="9219" max="9221" width="11.6640625" style="1465" customWidth="1"/>
    <col min="9222" max="9222" width="13.33203125" style="1465" customWidth="1"/>
    <col min="9223" max="9472" width="9.33203125" style="1465"/>
    <col min="9473" max="9473" width="35.6640625" style="1465" customWidth="1"/>
    <col min="9474" max="9474" width="6" style="1465" customWidth="1"/>
    <col min="9475" max="9477" width="11.6640625" style="1465" customWidth="1"/>
    <col min="9478" max="9478" width="13.33203125" style="1465" customWidth="1"/>
    <col min="9479" max="9728" width="9.33203125" style="1465"/>
    <col min="9729" max="9729" width="35.6640625" style="1465" customWidth="1"/>
    <col min="9730" max="9730" width="6" style="1465" customWidth="1"/>
    <col min="9731" max="9733" width="11.6640625" style="1465" customWidth="1"/>
    <col min="9734" max="9734" width="13.33203125" style="1465" customWidth="1"/>
    <col min="9735" max="9984" width="9.33203125" style="1465"/>
    <col min="9985" max="9985" width="35.6640625" style="1465" customWidth="1"/>
    <col min="9986" max="9986" width="6" style="1465" customWidth="1"/>
    <col min="9987" max="9989" width="11.6640625" style="1465" customWidth="1"/>
    <col min="9990" max="9990" width="13.33203125" style="1465" customWidth="1"/>
    <col min="9991" max="10240" width="9.33203125" style="1465"/>
    <col min="10241" max="10241" width="35.6640625" style="1465" customWidth="1"/>
    <col min="10242" max="10242" width="6" style="1465" customWidth="1"/>
    <col min="10243" max="10245" width="11.6640625" style="1465" customWidth="1"/>
    <col min="10246" max="10246" width="13.33203125" style="1465" customWidth="1"/>
    <col min="10247" max="10496" width="9.33203125" style="1465"/>
    <col min="10497" max="10497" width="35.6640625" style="1465" customWidth="1"/>
    <col min="10498" max="10498" width="6" style="1465" customWidth="1"/>
    <col min="10499" max="10501" width="11.6640625" style="1465" customWidth="1"/>
    <col min="10502" max="10502" width="13.33203125" style="1465" customWidth="1"/>
    <col min="10503" max="10752" width="9.33203125" style="1465"/>
    <col min="10753" max="10753" width="35.6640625" style="1465" customWidth="1"/>
    <col min="10754" max="10754" width="6" style="1465" customWidth="1"/>
    <col min="10755" max="10757" width="11.6640625" style="1465" customWidth="1"/>
    <col min="10758" max="10758" width="13.33203125" style="1465" customWidth="1"/>
    <col min="10759" max="11008" width="9.33203125" style="1465"/>
    <col min="11009" max="11009" width="35.6640625" style="1465" customWidth="1"/>
    <col min="11010" max="11010" width="6" style="1465" customWidth="1"/>
    <col min="11011" max="11013" width="11.6640625" style="1465" customWidth="1"/>
    <col min="11014" max="11014" width="13.33203125" style="1465" customWidth="1"/>
    <col min="11015" max="11264" width="9.33203125" style="1465"/>
    <col min="11265" max="11265" width="35.6640625" style="1465" customWidth="1"/>
    <col min="11266" max="11266" width="6" style="1465" customWidth="1"/>
    <col min="11267" max="11269" width="11.6640625" style="1465" customWidth="1"/>
    <col min="11270" max="11270" width="13.33203125" style="1465" customWidth="1"/>
    <col min="11271" max="11520" width="9.33203125" style="1465"/>
    <col min="11521" max="11521" width="35.6640625" style="1465" customWidth="1"/>
    <col min="11522" max="11522" width="6" style="1465" customWidth="1"/>
    <col min="11523" max="11525" width="11.6640625" style="1465" customWidth="1"/>
    <col min="11526" max="11526" width="13.33203125" style="1465" customWidth="1"/>
    <col min="11527" max="11776" width="9.33203125" style="1465"/>
    <col min="11777" max="11777" width="35.6640625" style="1465" customWidth="1"/>
    <col min="11778" max="11778" width="6" style="1465" customWidth="1"/>
    <col min="11779" max="11781" width="11.6640625" style="1465" customWidth="1"/>
    <col min="11782" max="11782" width="13.33203125" style="1465" customWidth="1"/>
    <col min="11783" max="12032" width="9.33203125" style="1465"/>
    <col min="12033" max="12033" width="35.6640625" style="1465" customWidth="1"/>
    <col min="12034" max="12034" width="6" style="1465" customWidth="1"/>
    <col min="12035" max="12037" width="11.6640625" style="1465" customWidth="1"/>
    <col min="12038" max="12038" width="13.33203125" style="1465" customWidth="1"/>
    <col min="12039" max="12288" width="9.33203125" style="1465"/>
    <col min="12289" max="12289" width="35.6640625" style="1465" customWidth="1"/>
    <col min="12290" max="12290" width="6" style="1465" customWidth="1"/>
    <col min="12291" max="12293" width="11.6640625" style="1465" customWidth="1"/>
    <col min="12294" max="12294" width="13.33203125" style="1465" customWidth="1"/>
    <col min="12295" max="12544" width="9.33203125" style="1465"/>
    <col min="12545" max="12545" width="35.6640625" style="1465" customWidth="1"/>
    <col min="12546" max="12546" width="6" style="1465" customWidth="1"/>
    <col min="12547" max="12549" width="11.6640625" style="1465" customWidth="1"/>
    <col min="12550" max="12550" width="13.33203125" style="1465" customWidth="1"/>
    <col min="12551" max="12800" width="9.33203125" style="1465"/>
    <col min="12801" max="12801" width="35.6640625" style="1465" customWidth="1"/>
    <col min="12802" max="12802" width="6" style="1465" customWidth="1"/>
    <col min="12803" max="12805" width="11.6640625" style="1465" customWidth="1"/>
    <col min="12806" max="12806" width="13.33203125" style="1465" customWidth="1"/>
    <col min="12807" max="13056" width="9.33203125" style="1465"/>
    <col min="13057" max="13057" width="35.6640625" style="1465" customWidth="1"/>
    <col min="13058" max="13058" width="6" style="1465" customWidth="1"/>
    <col min="13059" max="13061" width="11.6640625" style="1465" customWidth="1"/>
    <col min="13062" max="13062" width="13.33203125" style="1465" customWidth="1"/>
    <col min="13063" max="13312" width="9.33203125" style="1465"/>
    <col min="13313" max="13313" width="35.6640625" style="1465" customWidth="1"/>
    <col min="13314" max="13314" width="6" style="1465" customWidth="1"/>
    <col min="13315" max="13317" width="11.6640625" style="1465" customWidth="1"/>
    <col min="13318" max="13318" width="13.33203125" style="1465" customWidth="1"/>
    <col min="13319" max="13568" width="9.33203125" style="1465"/>
    <col min="13569" max="13569" width="35.6640625" style="1465" customWidth="1"/>
    <col min="13570" max="13570" width="6" style="1465" customWidth="1"/>
    <col min="13571" max="13573" width="11.6640625" style="1465" customWidth="1"/>
    <col min="13574" max="13574" width="13.33203125" style="1465" customWidth="1"/>
    <col min="13575" max="13824" width="9.33203125" style="1465"/>
    <col min="13825" max="13825" width="35.6640625" style="1465" customWidth="1"/>
    <col min="13826" max="13826" width="6" style="1465" customWidth="1"/>
    <col min="13827" max="13829" width="11.6640625" style="1465" customWidth="1"/>
    <col min="13830" max="13830" width="13.33203125" style="1465" customWidth="1"/>
    <col min="13831" max="14080" width="9.33203125" style="1465"/>
    <col min="14081" max="14081" width="35.6640625" style="1465" customWidth="1"/>
    <col min="14082" max="14082" width="6" style="1465" customWidth="1"/>
    <col min="14083" max="14085" width="11.6640625" style="1465" customWidth="1"/>
    <col min="14086" max="14086" width="13.33203125" style="1465" customWidth="1"/>
    <col min="14087" max="14336" width="9.33203125" style="1465"/>
    <col min="14337" max="14337" width="35.6640625" style="1465" customWidth="1"/>
    <col min="14338" max="14338" width="6" style="1465" customWidth="1"/>
    <col min="14339" max="14341" width="11.6640625" style="1465" customWidth="1"/>
    <col min="14342" max="14342" width="13.33203125" style="1465" customWidth="1"/>
    <col min="14343" max="14592" width="9.33203125" style="1465"/>
    <col min="14593" max="14593" width="35.6640625" style="1465" customWidth="1"/>
    <col min="14594" max="14594" width="6" style="1465" customWidth="1"/>
    <col min="14595" max="14597" width="11.6640625" style="1465" customWidth="1"/>
    <col min="14598" max="14598" width="13.33203125" style="1465" customWidth="1"/>
    <col min="14599" max="14848" width="9.33203125" style="1465"/>
    <col min="14849" max="14849" width="35.6640625" style="1465" customWidth="1"/>
    <col min="14850" max="14850" width="6" style="1465" customWidth="1"/>
    <col min="14851" max="14853" width="11.6640625" style="1465" customWidth="1"/>
    <col min="14854" max="14854" width="13.33203125" style="1465" customWidth="1"/>
    <col min="14855" max="15104" width="9.33203125" style="1465"/>
    <col min="15105" max="15105" width="35.6640625" style="1465" customWidth="1"/>
    <col min="15106" max="15106" width="6" style="1465" customWidth="1"/>
    <col min="15107" max="15109" width="11.6640625" style="1465" customWidth="1"/>
    <col min="15110" max="15110" width="13.33203125" style="1465" customWidth="1"/>
    <col min="15111" max="15360" width="9.33203125" style="1465"/>
    <col min="15361" max="15361" width="35.6640625" style="1465" customWidth="1"/>
    <col min="15362" max="15362" width="6" style="1465" customWidth="1"/>
    <col min="15363" max="15365" width="11.6640625" style="1465" customWidth="1"/>
    <col min="15366" max="15366" width="13.33203125" style="1465" customWidth="1"/>
    <col min="15367" max="15616" width="9.33203125" style="1465"/>
    <col min="15617" max="15617" width="35.6640625" style="1465" customWidth="1"/>
    <col min="15618" max="15618" width="6" style="1465" customWidth="1"/>
    <col min="15619" max="15621" width="11.6640625" style="1465" customWidth="1"/>
    <col min="15622" max="15622" width="13.33203125" style="1465" customWidth="1"/>
    <col min="15623" max="15872" width="9.33203125" style="1465"/>
    <col min="15873" max="15873" width="35.6640625" style="1465" customWidth="1"/>
    <col min="15874" max="15874" width="6" style="1465" customWidth="1"/>
    <col min="15875" max="15877" width="11.6640625" style="1465" customWidth="1"/>
    <col min="15878" max="15878" width="13.33203125" style="1465" customWidth="1"/>
    <col min="15879" max="16128" width="9.33203125" style="1465"/>
    <col min="16129" max="16129" width="35.6640625" style="1465" customWidth="1"/>
    <col min="16130" max="16130" width="6" style="1465" customWidth="1"/>
    <col min="16131" max="16133" width="11.6640625" style="1465" customWidth="1"/>
    <col min="16134" max="16134" width="13.33203125" style="1465" customWidth="1"/>
    <col min="16135" max="16384" width="9.33203125" style="1465"/>
  </cols>
  <sheetData>
    <row r="1" spans="1:6" ht="42" customHeight="1" x14ac:dyDescent="0.25">
      <c r="A1" s="1634" t="s">
        <v>1871</v>
      </c>
      <c r="B1" s="1634"/>
      <c r="C1" s="1634"/>
      <c r="D1" s="1634"/>
      <c r="E1" s="1634"/>
      <c r="F1" s="1634"/>
    </row>
    <row r="2" spans="1:6" ht="15.75" thickBot="1" x14ac:dyDescent="0.3">
      <c r="F2" s="1466" t="s">
        <v>1842</v>
      </c>
    </row>
    <row r="3" spans="1:6" ht="22.5" customHeight="1" x14ac:dyDescent="0.25">
      <c r="A3" s="1635" t="s">
        <v>863</v>
      </c>
      <c r="B3" s="1638" t="s">
        <v>862</v>
      </c>
      <c r="C3" s="1641" t="s">
        <v>1843</v>
      </c>
      <c r="D3" s="1642"/>
      <c r="E3" s="1642"/>
      <c r="F3" s="1645" t="s">
        <v>1844</v>
      </c>
    </row>
    <row r="4" spans="1:6" ht="22.5" customHeight="1" x14ac:dyDescent="0.25">
      <c r="A4" s="1636"/>
      <c r="B4" s="1639"/>
      <c r="C4" s="1643"/>
      <c r="D4" s="1644"/>
      <c r="E4" s="1644"/>
      <c r="F4" s="1646"/>
    </row>
    <row r="5" spans="1:6" ht="15.75" thickBot="1" x14ac:dyDescent="0.3">
      <c r="A5" s="1637"/>
      <c r="B5" s="1640"/>
      <c r="C5" s="1467" t="s">
        <v>1039</v>
      </c>
      <c r="D5" s="1467" t="s">
        <v>1830</v>
      </c>
      <c r="E5" s="1467" t="s">
        <v>1845</v>
      </c>
      <c r="F5" s="1647"/>
    </row>
    <row r="6" spans="1:6" x14ac:dyDescent="0.25">
      <c r="A6" s="1468">
        <v>1</v>
      </c>
      <c r="B6" s="1469">
        <v>2</v>
      </c>
      <c r="C6" s="1469">
        <v>3</v>
      </c>
      <c r="D6" s="1469">
        <v>4</v>
      </c>
      <c r="E6" s="1469">
        <v>5</v>
      </c>
      <c r="F6" s="1470">
        <v>7</v>
      </c>
    </row>
    <row r="7" spans="1:6" ht="18" customHeight="1" x14ac:dyDescent="0.25">
      <c r="A7" s="1471" t="s">
        <v>5</v>
      </c>
      <c r="B7" s="1472" t="s">
        <v>1846</v>
      </c>
      <c r="C7" s="1473">
        <v>1465000</v>
      </c>
      <c r="D7" s="1473">
        <v>1465000</v>
      </c>
      <c r="E7" s="1473">
        <v>1465000</v>
      </c>
      <c r="F7" s="1474">
        <f>+C7+D7+E7</f>
        <v>4395000</v>
      </c>
    </row>
    <row r="8" spans="1:6" ht="18" customHeight="1" x14ac:dyDescent="0.25">
      <c r="A8" s="1471" t="s">
        <v>1847</v>
      </c>
      <c r="B8" s="1472" t="s">
        <v>1848</v>
      </c>
      <c r="C8" s="1473">
        <v>8600</v>
      </c>
      <c r="D8" s="1473">
        <v>8600</v>
      </c>
      <c r="E8" s="1473">
        <v>8600</v>
      </c>
      <c r="F8" s="1474">
        <f>+C8+D8+E8</f>
        <v>25800</v>
      </c>
    </row>
    <row r="9" spans="1:6" ht="18" customHeight="1" x14ac:dyDescent="0.25">
      <c r="A9" s="1471" t="s">
        <v>1849</v>
      </c>
      <c r="B9" s="1472" t="s">
        <v>1850</v>
      </c>
      <c r="C9" s="1473"/>
      <c r="D9" s="1473"/>
      <c r="E9" s="1473"/>
      <c r="F9" s="1474">
        <f t="shared" ref="F9:F33" si="0">+C9+D9+E9</f>
        <v>0</v>
      </c>
    </row>
    <row r="10" spans="1:6" ht="39" customHeight="1" x14ac:dyDescent="0.25">
      <c r="A10" s="1471" t="s">
        <v>1851</v>
      </c>
      <c r="B10" s="1472" t="s">
        <v>1852</v>
      </c>
      <c r="C10" s="1473"/>
      <c r="D10" s="1473"/>
      <c r="E10" s="1473"/>
      <c r="F10" s="1474">
        <f t="shared" si="0"/>
        <v>0</v>
      </c>
    </row>
    <row r="11" spans="1:6" ht="18" customHeight="1" x14ac:dyDescent="0.25">
      <c r="A11" s="1471" t="s">
        <v>877</v>
      </c>
      <c r="B11" s="1472" t="s">
        <v>1853</v>
      </c>
      <c r="C11" s="1473"/>
      <c r="D11" s="1473"/>
      <c r="E11" s="1473"/>
      <c r="F11" s="1474">
        <f t="shared" si="0"/>
        <v>0</v>
      </c>
    </row>
    <row r="12" spans="1:6" ht="26.25" customHeight="1" x14ac:dyDescent="0.25">
      <c r="A12" s="1471" t="s">
        <v>878</v>
      </c>
      <c r="B12" s="1472" t="s">
        <v>1854</v>
      </c>
      <c r="C12" s="1473"/>
      <c r="D12" s="1473"/>
      <c r="E12" s="1473"/>
      <c r="F12" s="1474">
        <f t="shared" si="0"/>
        <v>0</v>
      </c>
    </row>
    <row r="13" spans="1:6" ht="18" customHeight="1" thickBot="1" x14ac:dyDescent="0.3">
      <c r="A13" s="1475" t="s">
        <v>129</v>
      </c>
      <c r="B13" s="1476" t="s">
        <v>1855</v>
      </c>
      <c r="C13" s="1477"/>
      <c r="D13" s="1477"/>
      <c r="E13" s="1477"/>
      <c r="F13" s="1478">
        <f t="shared" si="0"/>
        <v>0</v>
      </c>
    </row>
    <row r="14" spans="1:6" ht="18" customHeight="1" thickBot="1" x14ac:dyDescent="0.3">
      <c r="A14" s="1479" t="s">
        <v>1856</v>
      </c>
      <c r="B14" s="1480" t="s">
        <v>1857</v>
      </c>
      <c r="C14" s="1481">
        <f>SUM(C7:C13)</f>
        <v>1473600</v>
      </c>
      <c r="D14" s="1481">
        <f>SUM(D7:D13)</f>
        <v>1473600</v>
      </c>
      <c r="E14" s="1481">
        <f>SUM(E7:E13)</f>
        <v>1473600</v>
      </c>
      <c r="F14" s="1482">
        <f t="shared" si="0"/>
        <v>4420800</v>
      </c>
    </row>
    <row r="15" spans="1:6" ht="18" customHeight="1" thickBot="1" x14ac:dyDescent="0.3">
      <c r="A15" s="1483" t="s">
        <v>1858</v>
      </c>
      <c r="B15" s="1484" t="s">
        <v>1859</v>
      </c>
      <c r="C15" s="1485">
        <f>+C14*0.5</f>
        <v>736800</v>
      </c>
      <c r="D15" s="1485">
        <f>+D14*0.5</f>
        <v>736800</v>
      </c>
      <c r="E15" s="1485">
        <f>+E14*0.5</f>
        <v>736800</v>
      </c>
      <c r="F15" s="1486">
        <f t="shared" si="0"/>
        <v>2210400</v>
      </c>
    </row>
    <row r="16" spans="1:6" ht="30" customHeight="1" thickBot="1" x14ac:dyDescent="0.3">
      <c r="A16" s="1479" t="s">
        <v>1860</v>
      </c>
      <c r="B16" s="1487">
        <v>10</v>
      </c>
      <c r="C16" s="1481">
        <f>SUM(C17:C23)</f>
        <v>0</v>
      </c>
      <c r="D16" s="1481">
        <f>SUM(D17:D23)</f>
        <v>0</v>
      </c>
      <c r="E16" s="1481">
        <f>SUM(E17:E23)</f>
        <v>0</v>
      </c>
      <c r="F16" s="1482">
        <f t="shared" si="0"/>
        <v>0</v>
      </c>
    </row>
    <row r="17" spans="1:6" ht="18" customHeight="1" x14ac:dyDescent="0.25">
      <c r="A17" s="1488" t="s">
        <v>1861</v>
      </c>
      <c r="B17" s="1489">
        <v>11</v>
      </c>
      <c r="C17" s="1490"/>
      <c r="D17" s="1490"/>
      <c r="E17" s="1490"/>
      <c r="F17" s="1491">
        <f t="shared" si="0"/>
        <v>0</v>
      </c>
    </row>
    <row r="18" spans="1:6" ht="18" customHeight="1" x14ac:dyDescent="0.25">
      <c r="A18" s="1471" t="s">
        <v>1862</v>
      </c>
      <c r="B18" s="1492">
        <v>12</v>
      </c>
      <c r="C18" s="1473"/>
      <c r="D18" s="1473"/>
      <c r="E18" s="1473"/>
      <c r="F18" s="1474">
        <f t="shared" si="0"/>
        <v>0</v>
      </c>
    </row>
    <row r="19" spans="1:6" ht="18" customHeight="1" x14ac:dyDescent="0.25">
      <c r="A19" s="1471" t="s">
        <v>1863</v>
      </c>
      <c r="B19" s="1492">
        <v>13</v>
      </c>
      <c r="C19" s="1473"/>
      <c r="D19" s="1473"/>
      <c r="E19" s="1473"/>
      <c r="F19" s="1474">
        <f t="shared" si="0"/>
        <v>0</v>
      </c>
    </row>
    <row r="20" spans="1:6" ht="18" customHeight="1" x14ac:dyDescent="0.25">
      <c r="A20" s="1471" t="s">
        <v>1864</v>
      </c>
      <c r="B20" s="1492">
        <v>14</v>
      </c>
      <c r="C20" s="1473"/>
      <c r="D20" s="1473"/>
      <c r="E20" s="1473"/>
      <c r="F20" s="1474">
        <f t="shared" si="0"/>
        <v>0</v>
      </c>
    </row>
    <row r="21" spans="1:6" ht="18" customHeight="1" x14ac:dyDescent="0.25">
      <c r="A21" s="1471" t="s">
        <v>1865</v>
      </c>
      <c r="B21" s="1492">
        <v>15</v>
      </c>
      <c r="C21" s="1473"/>
      <c r="D21" s="1473"/>
      <c r="E21" s="1473"/>
      <c r="F21" s="1474">
        <f t="shared" si="0"/>
        <v>0</v>
      </c>
    </row>
    <row r="22" spans="1:6" ht="18" customHeight="1" x14ac:dyDescent="0.25">
      <c r="A22" s="1471" t="s">
        <v>1866</v>
      </c>
      <c r="B22" s="1492">
        <v>16</v>
      </c>
      <c r="C22" s="1473"/>
      <c r="D22" s="1473"/>
      <c r="E22" s="1473"/>
      <c r="F22" s="1474">
        <f t="shared" si="0"/>
        <v>0</v>
      </c>
    </row>
    <row r="23" spans="1:6" ht="18" customHeight="1" thickBot="1" x14ac:dyDescent="0.3">
      <c r="A23" s="1475" t="s">
        <v>1867</v>
      </c>
      <c r="B23" s="1493">
        <v>17</v>
      </c>
      <c r="C23" s="1477"/>
      <c r="D23" s="1477"/>
      <c r="E23" s="1477"/>
      <c r="F23" s="1478">
        <f t="shared" si="0"/>
        <v>0</v>
      </c>
    </row>
    <row r="24" spans="1:6" ht="39.75" customHeight="1" thickBot="1" x14ac:dyDescent="0.3">
      <c r="A24" s="1479" t="s">
        <v>1868</v>
      </c>
      <c r="B24" s="1487">
        <v>18</v>
      </c>
      <c r="C24" s="1481">
        <f>SUM(C25:C31)</f>
        <v>0</v>
      </c>
      <c r="D24" s="1481">
        <f>SUM(D25:D31)</f>
        <v>0</v>
      </c>
      <c r="E24" s="1481">
        <f>SUM(E25:E31)</f>
        <v>0</v>
      </c>
      <c r="F24" s="1482">
        <f t="shared" si="0"/>
        <v>0</v>
      </c>
    </row>
    <row r="25" spans="1:6" ht="18" customHeight="1" x14ac:dyDescent="0.25">
      <c r="A25" s="1488" t="s">
        <v>1861</v>
      </c>
      <c r="B25" s="1489">
        <v>19</v>
      </c>
      <c r="C25" s="1490"/>
      <c r="D25" s="1490"/>
      <c r="E25" s="1490"/>
      <c r="F25" s="1491">
        <f t="shared" si="0"/>
        <v>0</v>
      </c>
    </row>
    <row r="26" spans="1:6" ht="18" customHeight="1" x14ac:dyDescent="0.25">
      <c r="A26" s="1471" t="s">
        <v>1862</v>
      </c>
      <c r="B26" s="1492">
        <v>20</v>
      </c>
      <c r="C26" s="1473"/>
      <c r="D26" s="1473"/>
      <c r="E26" s="1473"/>
      <c r="F26" s="1474">
        <f t="shared" si="0"/>
        <v>0</v>
      </c>
    </row>
    <row r="27" spans="1:6" ht="18" customHeight="1" x14ac:dyDescent="0.25">
      <c r="A27" s="1471" t="s">
        <v>1863</v>
      </c>
      <c r="B27" s="1492">
        <v>21</v>
      </c>
      <c r="C27" s="1473"/>
      <c r="D27" s="1473"/>
      <c r="E27" s="1473"/>
      <c r="F27" s="1474">
        <f t="shared" si="0"/>
        <v>0</v>
      </c>
    </row>
    <row r="28" spans="1:6" ht="18" customHeight="1" x14ac:dyDescent="0.25">
      <c r="A28" s="1471" t="s">
        <v>1864</v>
      </c>
      <c r="B28" s="1492">
        <v>22</v>
      </c>
      <c r="C28" s="1473"/>
      <c r="D28" s="1473"/>
      <c r="E28" s="1473"/>
      <c r="F28" s="1474">
        <f t="shared" si="0"/>
        <v>0</v>
      </c>
    </row>
    <row r="29" spans="1:6" ht="18" customHeight="1" x14ac:dyDescent="0.25">
      <c r="A29" s="1471" t="s">
        <v>1865</v>
      </c>
      <c r="B29" s="1492">
        <v>23</v>
      </c>
      <c r="C29" s="1473"/>
      <c r="D29" s="1473"/>
      <c r="E29" s="1473"/>
      <c r="F29" s="1474">
        <f t="shared" si="0"/>
        <v>0</v>
      </c>
    </row>
    <row r="30" spans="1:6" ht="18" customHeight="1" x14ac:dyDescent="0.25">
      <c r="A30" s="1471" t="s">
        <v>1866</v>
      </c>
      <c r="B30" s="1492">
        <v>24</v>
      </c>
      <c r="C30" s="1473"/>
      <c r="D30" s="1473"/>
      <c r="E30" s="1473"/>
      <c r="F30" s="1474">
        <f t="shared" si="0"/>
        <v>0</v>
      </c>
    </row>
    <row r="31" spans="1:6" ht="18" customHeight="1" thickBot="1" x14ac:dyDescent="0.3">
      <c r="A31" s="1475" t="s">
        <v>1867</v>
      </c>
      <c r="B31" s="1493">
        <v>25</v>
      </c>
      <c r="C31" s="1477"/>
      <c r="D31" s="1477"/>
      <c r="E31" s="1477"/>
      <c r="F31" s="1478">
        <f t="shared" si="0"/>
        <v>0</v>
      </c>
    </row>
    <row r="32" spans="1:6" ht="18" customHeight="1" thickBot="1" x14ac:dyDescent="0.3">
      <c r="A32" s="1479" t="s">
        <v>1869</v>
      </c>
      <c r="B32" s="1487">
        <v>26</v>
      </c>
      <c r="C32" s="1481">
        <f>+C16+C24</f>
        <v>0</v>
      </c>
      <c r="D32" s="1481">
        <f>+D16+D24</f>
        <v>0</v>
      </c>
      <c r="E32" s="1481">
        <f>+E16+E24</f>
        <v>0</v>
      </c>
      <c r="F32" s="1482">
        <f t="shared" si="0"/>
        <v>0</v>
      </c>
    </row>
    <row r="33" spans="1:6" ht="30" customHeight="1" thickBot="1" x14ac:dyDescent="0.3">
      <c r="A33" s="1479" t="s">
        <v>1870</v>
      </c>
      <c r="B33" s="1487">
        <v>27</v>
      </c>
      <c r="C33" s="1481">
        <f>+C15-C32</f>
        <v>736800</v>
      </c>
      <c r="D33" s="1481">
        <f>+D15-D32</f>
        <v>736800</v>
      </c>
      <c r="E33" s="1481">
        <f>+E15-E32</f>
        <v>736800</v>
      </c>
      <c r="F33" s="1482">
        <f t="shared" si="0"/>
        <v>2210400</v>
      </c>
    </row>
  </sheetData>
  <sheetProtection selectLockedCells="1" selectUnlockedCells="1"/>
  <mergeCells count="5">
    <mergeCell ref="A1:F1"/>
    <mergeCell ref="A3:A5"/>
    <mergeCell ref="B3:B5"/>
    <mergeCell ref="C3:E4"/>
    <mergeCell ref="F3:F5"/>
  </mergeCells>
  <pageMargins left="0.70866141732283472" right="0.70866141732283472" top="0.74803149606299213" bottom="0.74803149606299213" header="0.31496062992125984" footer="0.31496062992125984"/>
  <pageSetup paperSize="9" firstPageNumber="155" orientation="portrait" useFirstPageNumber="1" r:id="rId1"/>
  <headerFooter>
    <oddHeader xml:space="preserve">&amp;R&amp;12 15. sz. melléklet
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20" workbookViewId="0">
      <selection activeCell="I69" sqref="I69"/>
    </sheetView>
  </sheetViews>
  <sheetFormatPr defaultRowHeight="12.75" x14ac:dyDescent="0.2"/>
  <cols>
    <col min="1" max="1" width="6.6640625" customWidth="1"/>
    <col min="2" max="2" width="57.6640625" customWidth="1"/>
    <col min="3" max="3" width="24.33203125" customWidth="1"/>
    <col min="4" max="4" width="14.83203125" customWidth="1"/>
  </cols>
  <sheetData>
    <row r="1" spans="1:4" ht="32.25" customHeight="1" x14ac:dyDescent="0.2">
      <c r="A1" s="696" t="s">
        <v>80</v>
      </c>
      <c r="B1" s="697" t="s">
        <v>968</v>
      </c>
      <c r="C1" s="697" t="s">
        <v>969</v>
      </c>
      <c r="D1" s="698" t="s">
        <v>970</v>
      </c>
    </row>
    <row r="2" spans="1:4" ht="15.95" customHeight="1" x14ac:dyDescent="0.2">
      <c r="A2" s="699"/>
      <c r="B2" s="236"/>
      <c r="C2" s="701"/>
      <c r="D2" s="237"/>
    </row>
    <row r="3" spans="1:4" ht="19.5" customHeight="1" x14ac:dyDescent="0.2">
      <c r="A3" s="700" t="s">
        <v>2</v>
      </c>
      <c r="B3" s="236" t="s">
        <v>291</v>
      </c>
      <c r="C3" s="701"/>
      <c r="D3" s="237">
        <f>SUM(D4:D13)</f>
        <v>16800</v>
      </c>
    </row>
    <row r="4" spans="1:4" ht="15.95" customHeight="1" x14ac:dyDescent="0.25">
      <c r="A4" s="700" t="s">
        <v>3</v>
      </c>
      <c r="B4" s="264" t="s">
        <v>293</v>
      </c>
      <c r="C4" s="701" t="s">
        <v>1469</v>
      </c>
      <c r="D4" s="192">
        <v>1700</v>
      </c>
    </row>
    <row r="5" spans="1:4" ht="15.95" customHeight="1" x14ac:dyDescent="0.25">
      <c r="A5" s="700" t="s">
        <v>12</v>
      </c>
      <c r="B5" s="264" t="s">
        <v>295</v>
      </c>
      <c r="C5" s="701" t="s">
        <v>1469</v>
      </c>
      <c r="D5" s="192">
        <v>200</v>
      </c>
    </row>
    <row r="6" spans="1:4" ht="15.95" customHeight="1" x14ac:dyDescent="0.25">
      <c r="A6" s="700" t="s">
        <v>68</v>
      </c>
      <c r="B6" s="264" t="s">
        <v>297</v>
      </c>
      <c r="C6" s="701" t="s">
        <v>1469</v>
      </c>
      <c r="D6" s="192">
        <v>6000</v>
      </c>
    </row>
    <row r="7" spans="1:4" ht="15.95" customHeight="1" x14ac:dyDescent="0.25">
      <c r="A7" s="700" t="s">
        <v>27</v>
      </c>
      <c r="B7" s="264" t="s">
        <v>299</v>
      </c>
      <c r="C7" s="701" t="s">
        <v>1469</v>
      </c>
      <c r="D7" s="192"/>
    </row>
    <row r="8" spans="1:4" ht="15.95" customHeight="1" x14ac:dyDescent="0.25">
      <c r="A8" s="700" t="s">
        <v>32</v>
      </c>
      <c r="B8" s="264" t="s">
        <v>301</v>
      </c>
      <c r="C8" s="701" t="s">
        <v>1469</v>
      </c>
      <c r="D8" s="192">
        <v>200</v>
      </c>
    </row>
    <row r="9" spans="1:4" ht="15.95" customHeight="1" x14ac:dyDescent="0.25">
      <c r="A9" s="700" t="s">
        <v>74</v>
      </c>
      <c r="B9" s="264" t="s">
        <v>303</v>
      </c>
      <c r="C9" s="701" t="s">
        <v>1469</v>
      </c>
      <c r="D9" s="192">
        <v>200</v>
      </c>
    </row>
    <row r="10" spans="1:4" ht="15.95" customHeight="1" x14ac:dyDescent="0.25">
      <c r="A10" s="700" t="s">
        <v>88</v>
      </c>
      <c r="B10" s="264" t="s">
        <v>305</v>
      </c>
      <c r="C10" s="701" t="s">
        <v>1469</v>
      </c>
      <c r="D10" s="192">
        <v>4000</v>
      </c>
    </row>
    <row r="11" spans="1:4" ht="15.95" customHeight="1" x14ac:dyDescent="0.25">
      <c r="A11" s="700" t="s">
        <v>41</v>
      </c>
      <c r="B11" s="264"/>
      <c r="C11" s="701" t="s">
        <v>1469</v>
      </c>
      <c r="D11" s="192">
        <v>0</v>
      </c>
    </row>
    <row r="12" spans="1:4" ht="15.95" customHeight="1" x14ac:dyDescent="0.25">
      <c r="A12" s="700" t="s">
        <v>42</v>
      </c>
      <c r="B12" s="264" t="s">
        <v>307</v>
      </c>
      <c r="C12" s="701" t="s">
        <v>1469</v>
      </c>
      <c r="D12" s="192">
        <v>500</v>
      </c>
    </row>
    <row r="13" spans="1:4" ht="15.95" customHeight="1" x14ac:dyDescent="0.25">
      <c r="A13" s="700" t="s">
        <v>45</v>
      </c>
      <c r="B13" s="264" t="s">
        <v>309</v>
      </c>
      <c r="C13" s="701" t="s">
        <v>1469</v>
      </c>
      <c r="D13" s="192">
        <f>SUM(D14:D15)</f>
        <v>4000</v>
      </c>
    </row>
    <row r="14" spans="1:4" ht="15.95" customHeight="1" x14ac:dyDescent="0.25">
      <c r="A14" s="700" t="s">
        <v>46</v>
      </c>
      <c r="B14" s="1126" t="s">
        <v>311</v>
      </c>
      <c r="C14" s="1127" t="s">
        <v>1469</v>
      </c>
      <c r="D14" s="196">
        <v>2500</v>
      </c>
    </row>
    <row r="15" spans="1:4" ht="15.95" customHeight="1" x14ac:dyDescent="0.25">
      <c r="A15" s="700" t="s">
        <v>47</v>
      </c>
      <c r="B15" s="1126" t="s">
        <v>1226</v>
      </c>
      <c r="C15" s="1127" t="s">
        <v>1469</v>
      </c>
      <c r="D15" s="196">
        <v>1500</v>
      </c>
    </row>
    <row r="16" spans="1:4" ht="15.95" customHeight="1" x14ac:dyDescent="0.2">
      <c r="A16" s="700" t="s">
        <v>91</v>
      </c>
      <c r="B16" s="236" t="s">
        <v>314</v>
      </c>
      <c r="C16" s="701"/>
      <c r="D16" s="237">
        <f>SUM(D17+D21+D22+D23+D24+D26+D27)</f>
        <v>44620</v>
      </c>
    </row>
    <row r="17" spans="1:4" ht="15.95" customHeight="1" x14ac:dyDescent="0.25">
      <c r="A17" s="700" t="s">
        <v>92</v>
      </c>
      <c r="B17" s="264" t="s">
        <v>316</v>
      </c>
      <c r="C17" s="701" t="s">
        <v>1469</v>
      </c>
      <c r="D17" s="196">
        <f t="shared" ref="D17" si="0">SUM(D18:D20)</f>
        <v>24500</v>
      </c>
    </row>
    <row r="18" spans="1:4" ht="15.95" customHeight="1" x14ac:dyDescent="0.25">
      <c r="A18" s="700" t="s">
        <v>93</v>
      </c>
      <c r="B18" s="264" t="s">
        <v>1041</v>
      </c>
      <c r="C18" s="701" t="s">
        <v>1469</v>
      </c>
      <c r="D18" s="192">
        <v>17000</v>
      </c>
    </row>
    <row r="19" spans="1:4" ht="15.95" customHeight="1" x14ac:dyDescent="0.25">
      <c r="A19" s="700" t="s">
        <v>94</v>
      </c>
      <c r="B19" s="264" t="s">
        <v>319</v>
      </c>
      <c r="C19" s="701" t="s">
        <v>1469</v>
      </c>
      <c r="D19" s="192">
        <v>7500</v>
      </c>
    </row>
    <row r="20" spans="1:4" ht="15.95" customHeight="1" x14ac:dyDescent="0.25">
      <c r="A20" s="700" t="s">
        <v>95</v>
      </c>
      <c r="B20" s="264" t="s">
        <v>321</v>
      </c>
      <c r="C20" s="701" t="s">
        <v>1469</v>
      </c>
      <c r="D20" s="192"/>
    </row>
    <row r="21" spans="1:4" ht="15.95" customHeight="1" x14ac:dyDescent="0.25">
      <c r="A21" s="700" t="s">
        <v>96</v>
      </c>
      <c r="B21" s="264" t="s">
        <v>323</v>
      </c>
      <c r="C21" s="701" t="s">
        <v>1469</v>
      </c>
      <c r="D21" s="192">
        <v>3500</v>
      </c>
    </row>
    <row r="22" spans="1:4" ht="15.95" customHeight="1" x14ac:dyDescent="0.25">
      <c r="A22" s="700" t="s">
        <v>97</v>
      </c>
      <c r="B22" s="264" t="s">
        <v>1036</v>
      </c>
      <c r="C22" s="701" t="s">
        <v>1469</v>
      </c>
      <c r="D22" s="192">
        <v>1500</v>
      </c>
    </row>
    <row r="23" spans="1:4" ht="15.95" customHeight="1" x14ac:dyDescent="0.25">
      <c r="A23" s="700" t="s">
        <v>98</v>
      </c>
      <c r="B23" s="267" t="s">
        <v>326</v>
      </c>
      <c r="C23" s="701" t="s">
        <v>1469</v>
      </c>
      <c r="D23" s="268">
        <v>7620</v>
      </c>
    </row>
    <row r="24" spans="1:4" ht="15.95" customHeight="1" x14ac:dyDescent="0.25">
      <c r="A24" s="700" t="s">
        <v>100</v>
      </c>
      <c r="B24" s="269" t="s">
        <v>328</v>
      </c>
      <c r="C24" s="701" t="s">
        <v>1469</v>
      </c>
      <c r="D24" s="268">
        <v>6000</v>
      </c>
    </row>
    <row r="25" spans="1:4" ht="15.95" customHeight="1" x14ac:dyDescent="0.25">
      <c r="A25" s="700" t="s">
        <v>101</v>
      </c>
      <c r="B25" s="270" t="s">
        <v>330</v>
      </c>
      <c r="C25" s="701" t="s">
        <v>1469</v>
      </c>
      <c r="D25" s="271">
        <v>2500</v>
      </c>
    </row>
    <row r="26" spans="1:4" ht="15.95" customHeight="1" x14ac:dyDescent="0.25">
      <c r="A26" s="700" t="s">
        <v>103</v>
      </c>
      <c r="B26" s="267" t="s">
        <v>332</v>
      </c>
      <c r="C26" s="701" t="s">
        <v>1469</v>
      </c>
      <c r="D26" s="268">
        <v>500</v>
      </c>
    </row>
    <row r="27" spans="1:4" ht="15.95" customHeight="1" x14ac:dyDescent="0.25">
      <c r="A27" s="700" t="s">
        <v>105</v>
      </c>
      <c r="B27" s="269" t="s">
        <v>1437</v>
      </c>
      <c r="C27" s="701" t="s">
        <v>1469</v>
      </c>
      <c r="D27" s="268">
        <v>1000</v>
      </c>
    </row>
    <row r="28" spans="1:4" ht="15.95" customHeight="1" x14ac:dyDescent="0.2">
      <c r="A28" s="700" t="s">
        <v>941</v>
      </c>
      <c r="B28" s="273" t="s">
        <v>374</v>
      </c>
      <c r="C28" s="701"/>
      <c r="D28" s="274">
        <f>SUM(D29:D45)-D32-D31</f>
        <v>27811</v>
      </c>
    </row>
    <row r="29" spans="1:4" ht="15.95" customHeight="1" x14ac:dyDescent="0.25">
      <c r="A29" s="700" t="s">
        <v>971</v>
      </c>
      <c r="B29" s="267" t="s">
        <v>376</v>
      </c>
      <c r="C29" s="701" t="s">
        <v>1469</v>
      </c>
      <c r="D29" s="268">
        <v>1000</v>
      </c>
    </row>
    <row r="30" spans="1:4" ht="15.95" customHeight="1" x14ac:dyDescent="0.25">
      <c r="A30" s="700" t="s">
        <v>1389</v>
      </c>
      <c r="B30" s="267" t="s">
        <v>378</v>
      </c>
      <c r="C30" s="701" t="s">
        <v>1469</v>
      </c>
      <c r="D30" s="268">
        <f t="shared" ref="D30" si="1">SUM(D31:D32)</f>
        <v>875</v>
      </c>
    </row>
    <row r="31" spans="1:4" ht="15.95" customHeight="1" x14ac:dyDescent="0.25">
      <c r="A31" s="700" t="s">
        <v>1390</v>
      </c>
      <c r="B31" s="276" t="s">
        <v>1422</v>
      </c>
      <c r="C31" s="701" t="s">
        <v>1469</v>
      </c>
      <c r="D31" s="277">
        <v>475</v>
      </c>
    </row>
    <row r="32" spans="1:4" ht="15.95" customHeight="1" x14ac:dyDescent="0.25">
      <c r="A32" s="700" t="s">
        <v>1391</v>
      </c>
      <c r="B32" s="276" t="s">
        <v>381</v>
      </c>
      <c r="C32" s="701" t="s">
        <v>1469</v>
      </c>
      <c r="D32" s="277">
        <v>400</v>
      </c>
    </row>
    <row r="33" spans="1:4" ht="15.95" customHeight="1" x14ac:dyDescent="0.25">
      <c r="A33" s="700" t="s">
        <v>1392</v>
      </c>
      <c r="B33" s="267" t="s">
        <v>31</v>
      </c>
      <c r="C33" s="701" t="s">
        <v>1469</v>
      </c>
      <c r="D33" s="268">
        <v>0</v>
      </c>
    </row>
    <row r="34" spans="1:4" ht="15.95" customHeight="1" x14ac:dyDescent="0.25">
      <c r="A34" s="700" t="s">
        <v>1393</v>
      </c>
      <c r="B34" s="267" t="s">
        <v>384</v>
      </c>
      <c r="C34" s="701" t="s">
        <v>1469</v>
      </c>
      <c r="D34" s="268">
        <v>20000</v>
      </c>
    </row>
    <row r="35" spans="1:4" ht="15.95" customHeight="1" x14ac:dyDescent="0.25">
      <c r="A35" s="700" t="s">
        <v>1394</v>
      </c>
      <c r="B35" s="269" t="s">
        <v>386</v>
      </c>
      <c r="C35" s="701" t="s">
        <v>1469</v>
      </c>
      <c r="D35" s="268">
        <v>1000</v>
      </c>
    </row>
    <row r="36" spans="1:4" ht="15.95" customHeight="1" x14ac:dyDescent="0.25">
      <c r="A36" s="700" t="s">
        <v>1395</v>
      </c>
      <c r="B36" s="269" t="s">
        <v>388</v>
      </c>
      <c r="C36" s="701" t="s">
        <v>1469</v>
      </c>
      <c r="D36" s="268">
        <v>2800</v>
      </c>
    </row>
    <row r="37" spans="1:4" ht="15.95" customHeight="1" x14ac:dyDescent="0.25">
      <c r="A37" s="700" t="s">
        <v>1396</v>
      </c>
      <c r="B37" s="267" t="s">
        <v>390</v>
      </c>
      <c r="C37" s="701" t="s">
        <v>1469</v>
      </c>
      <c r="D37" s="268">
        <v>2136</v>
      </c>
    </row>
    <row r="38" spans="1:4" ht="15.95" customHeight="1" x14ac:dyDescent="0.25">
      <c r="A38" s="700" t="s">
        <v>1397</v>
      </c>
      <c r="B38" s="269"/>
      <c r="C38" s="701"/>
      <c r="D38" s="268"/>
    </row>
    <row r="39" spans="1:4" ht="15.95" customHeight="1" x14ac:dyDescent="0.25">
      <c r="A39" s="700" t="s">
        <v>1398</v>
      </c>
      <c r="B39" s="269"/>
      <c r="C39" s="701"/>
      <c r="D39" s="268"/>
    </row>
    <row r="40" spans="1:4" ht="15.95" hidden="1" customHeight="1" x14ac:dyDescent="0.25">
      <c r="A40" s="700" t="s">
        <v>1399</v>
      </c>
      <c r="B40" s="269"/>
      <c r="C40" s="701"/>
      <c r="D40" s="268"/>
    </row>
    <row r="41" spans="1:4" ht="15.95" hidden="1" customHeight="1" x14ac:dyDescent="0.25">
      <c r="A41" s="700" t="s">
        <v>1400</v>
      </c>
      <c r="B41" s="269"/>
      <c r="C41" s="701"/>
      <c r="D41" s="268"/>
    </row>
    <row r="42" spans="1:4" ht="15.95" hidden="1" customHeight="1" x14ac:dyDescent="0.25">
      <c r="A42" s="700" t="s">
        <v>1401</v>
      </c>
      <c r="B42" s="269"/>
      <c r="C42" s="701"/>
      <c r="D42" s="268"/>
    </row>
    <row r="43" spans="1:4" ht="15.95" hidden="1" customHeight="1" x14ac:dyDescent="0.25">
      <c r="A43" s="700" t="s">
        <v>1402</v>
      </c>
      <c r="B43" s="269"/>
      <c r="C43" s="701"/>
      <c r="D43" s="268"/>
    </row>
    <row r="44" spans="1:4" ht="15.95" hidden="1" customHeight="1" x14ac:dyDescent="0.25">
      <c r="A44" s="700" t="s">
        <v>972</v>
      </c>
      <c r="B44" s="269"/>
      <c r="C44" s="701"/>
      <c r="D44" s="268"/>
    </row>
    <row r="45" spans="1:4" ht="15.95" hidden="1" customHeight="1" x14ac:dyDescent="0.25">
      <c r="A45" s="700" t="s">
        <v>973</v>
      </c>
      <c r="B45" s="269"/>
      <c r="C45" s="701"/>
      <c r="D45" s="268"/>
    </row>
    <row r="46" spans="1:4" ht="15.95" hidden="1" customHeight="1" x14ac:dyDescent="0.25">
      <c r="A46" s="700" t="s">
        <v>974</v>
      </c>
      <c r="B46" s="269"/>
      <c r="C46" s="701"/>
      <c r="D46" s="268"/>
    </row>
    <row r="47" spans="1:4" ht="15.95" hidden="1" customHeight="1" x14ac:dyDescent="0.25">
      <c r="A47" s="700" t="s">
        <v>975</v>
      </c>
      <c r="B47" s="269"/>
      <c r="C47" s="701"/>
      <c r="D47" s="268"/>
    </row>
    <row r="48" spans="1:4" ht="15.95" hidden="1" customHeight="1" x14ac:dyDescent="0.2">
      <c r="A48" s="700" t="s">
        <v>976</v>
      </c>
      <c r="B48" s="273"/>
      <c r="C48" s="701"/>
      <c r="D48" s="274"/>
    </row>
    <row r="49" spans="1:4" ht="15.95" hidden="1" customHeight="1" x14ac:dyDescent="0.25">
      <c r="A49" s="700" t="s">
        <v>1403</v>
      </c>
      <c r="B49" s="267"/>
      <c r="C49" s="701"/>
      <c r="D49" s="268"/>
    </row>
    <row r="50" spans="1:4" ht="15.95" hidden="1" customHeight="1" x14ac:dyDescent="0.25">
      <c r="A50" s="700" t="s">
        <v>977</v>
      </c>
      <c r="B50" s="267"/>
      <c r="C50" s="701"/>
      <c r="D50" s="268"/>
    </row>
    <row r="51" spans="1:4" ht="15.95" hidden="1" customHeight="1" x14ac:dyDescent="0.25">
      <c r="A51" s="700" t="s">
        <v>978</v>
      </c>
      <c r="B51" s="276"/>
      <c r="C51" s="701"/>
      <c r="D51" s="277"/>
    </row>
    <row r="52" spans="1:4" ht="15.95" hidden="1" customHeight="1" x14ac:dyDescent="0.25">
      <c r="A52" s="700" t="s">
        <v>979</v>
      </c>
      <c r="B52" s="276"/>
      <c r="C52" s="701"/>
      <c r="D52" s="277"/>
    </row>
    <row r="53" spans="1:4" ht="15.95" hidden="1" customHeight="1" x14ac:dyDescent="0.25">
      <c r="A53" s="700" t="s">
        <v>980</v>
      </c>
      <c r="B53" s="267"/>
      <c r="C53" s="974"/>
      <c r="D53" s="268"/>
    </row>
    <row r="54" spans="1:4" ht="15.95" hidden="1" customHeight="1" x14ac:dyDescent="0.25">
      <c r="A54" s="700" t="s">
        <v>981</v>
      </c>
      <c r="B54" s="267"/>
      <c r="C54" s="701"/>
      <c r="D54" s="268"/>
    </row>
    <row r="55" spans="1:4" ht="15.95" hidden="1" customHeight="1" x14ac:dyDescent="0.25">
      <c r="A55" s="700" t="s">
        <v>1383</v>
      </c>
      <c r="B55" s="269"/>
      <c r="C55" s="701"/>
      <c r="D55" s="268"/>
    </row>
    <row r="56" spans="1:4" ht="15.95" hidden="1" customHeight="1" x14ac:dyDescent="0.25">
      <c r="A56" s="700" t="s">
        <v>1384</v>
      </c>
      <c r="B56" s="269"/>
      <c r="C56" s="701"/>
      <c r="D56" s="268"/>
    </row>
    <row r="57" spans="1:4" ht="15.95" hidden="1" customHeight="1" x14ac:dyDescent="0.25">
      <c r="A57" s="700" t="s">
        <v>1385</v>
      </c>
      <c r="B57" s="269"/>
      <c r="C57" s="701"/>
      <c r="D57" s="268"/>
    </row>
    <row r="58" spans="1:4" ht="15.95" hidden="1" customHeight="1" x14ac:dyDescent="0.25">
      <c r="A58" s="700" t="s">
        <v>1386</v>
      </c>
      <c r="B58" s="267"/>
      <c r="C58" s="701"/>
      <c r="D58" s="268"/>
    </row>
    <row r="59" spans="1:4" ht="15.95" hidden="1" customHeight="1" x14ac:dyDescent="0.25">
      <c r="A59" s="700" t="s">
        <v>1387</v>
      </c>
      <c r="B59" s="267"/>
      <c r="C59" s="701"/>
      <c r="D59" s="268"/>
    </row>
    <row r="60" spans="1:4" ht="15.95" hidden="1" customHeight="1" x14ac:dyDescent="0.25">
      <c r="A60" s="700" t="s">
        <v>1388</v>
      </c>
      <c r="B60" s="267"/>
      <c r="C60" s="701"/>
      <c r="D60" s="268"/>
    </row>
    <row r="61" spans="1:4" ht="15.95" hidden="1" customHeight="1" x14ac:dyDescent="0.25">
      <c r="A61" s="700" t="s">
        <v>1404</v>
      </c>
      <c r="B61" s="267"/>
      <c r="C61" s="701"/>
      <c r="D61" s="268"/>
    </row>
    <row r="62" spans="1:4" ht="15.95" hidden="1" customHeight="1" x14ac:dyDescent="0.25">
      <c r="A62" s="700" t="s">
        <v>1405</v>
      </c>
      <c r="B62" s="267"/>
      <c r="C62" s="701"/>
      <c r="D62" s="268"/>
    </row>
    <row r="63" spans="1:4" ht="15.95" hidden="1" customHeight="1" x14ac:dyDescent="0.25">
      <c r="A63" s="700" t="s">
        <v>1406</v>
      </c>
      <c r="B63" s="267"/>
      <c r="C63" s="701"/>
      <c r="D63" s="268"/>
    </row>
    <row r="64" spans="1:4" ht="15.95" hidden="1" customHeight="1" x14ac:dyDescent="0.25">
      <c r="A64" s="700" t="s">
        <v>1407</v>
      </c>
      <c r="B64" s="267"/>
      <c r="C64" s="701"/>
      <c r="D64" s="268"/>
    </row>
    <row r="65" spans="1:4" ht="21" hidden="1" customHeight="1" x14ac:dyDescent="0.2">
      <c r="A65" s="700" t="s">
        <v>1408</v>
      </c>
      <c r="B65" s="273"/>
      <c r="C65" s="701"/>
      <c r="D65" s="274"/>
    </row>
    <row r="66" spans="1:4" ht="23.25" customHeight="1" thickBot="1" x14ac:dyDescent="0.35">
      <c r="A66" s="702"/>
      <c r="B66" s="702" t="s">
        <v>920</v>
      </c>
      <c r="C66" s="702"/>
      <c r="D66" s="702">
        <f>SUM(D28+D16+D3)</f>
        <v>89231</v>
      </c>
    </row>
  </sheetData>
  <sheetProtection selectLockedCells="1" selectUnlockedCells="1"/>
  <printOptions horizontalCentered="1"/>
  <pageMargins left="0.51181102362204722" right="0.23622047244094491" top="1.2598425196850394" bottom="0.70866141732283472" header="0.55118110236220474" footer="0.35433070866141736"/>
  <pageSetup paperSize="9" firstPageNumber="155" orientation="portrait" useFirstPageNumber="1" r:id="rId1"/>
  <headerFooter alignWithMargins="0">
    <oddHeader>&amp;C&amp;"Times New Roman CE,Félkövér"&amp;14
Kimutatás Vecsés Város Önkormányzat 2014. évi céljellegű támogatásairól&amp;R&amp;"Arial,Normál"&amp;12 16. sz. melléklet
Ezer Ft</oddHeader>
    <oddFooter xml:space="preserve">&amp;C- &amp;P - </oddFooter>
  </headerFooter>
  <rowBreaks count="1" manualBreakCount="1">
    <brk id="66" max="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30" workbookViewId="0">
      <selection activeCell="D2" sqref="D2:F4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0.83203125" style="76" customWidth="1"/>
    <col min="4" max="4" width="19" style="76" customWidth="1"/>
    <col min="5" max="6" width="15.6640625" style="76" hidden="1" customWidth="1"/>
    <col min="7" max="7" width="10" style="76" hidden="1" customWidth="1"/>
    <col min="8" max="9" width="10.5" style="76" customWidth="1"/>
    <col min="10" max="12" width="9.33203125" style="76" customWidth="1"/>
    <col min="13" max="16384" width="9.33203125" style="76"/>
  </cols>
  <sheetData>
    <row r="1" spans="1:10" s="326" customFormat="1" ht="21" customHeight="1" x14ac:dyDescent="0.2">
      <c r="A1" s="382"/>
      <c r="B1" s="383"/>
      <c r="C1" s="384"/>
      <c r="D1" s="1552" t="s">
        <v>545</v>
      </c>
      <c r="E1" s="1552"/>
      <c r="F1" s="1552"/>
      <c r="G1" s="1552"/>
    </row>
    <row r="2" spans="1:10" s="79" customFormat="1" ht="30" customHeight="1" x14ac:dyDescent="0.2">
      <c r="A2" s="1554" t="s">
        <v>495</v>
      </c>
      <c r="B2" s="1554"/>
      <c r="C2" s="77" t="s">
        <v>546</v>
      </c>
      <c r="D2" s="1523" t="s">
        <v>1024</v>
      </c>
      <c r="E2" s="343"/>
      <c r="F2" s="343"/>
      <c r="G2" s="343"/>
    </row>
    <row r="3" spans="1:10" s="79" customFormat="1" ht="30" customHeight="1" x14ac:dyDescent="0.2">
      <c r="A3" s="1555" t="s">
        <v>122</v>
      </c>
      <c r="B3" s="1555"/>
      <c r="C3" s="80" t="s">
        <v>547</v>
      </c>
      <c r="D3" s="1524"/>
      <c r="E3" s="327"/>
      <c r="F3" s="327"/>
      <c r="G3" s="327"/>
    </row>
    <row r="4" spans="1:10" s="83" customFormat="1" ht="15.9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10" ht="35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10" s="89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  <c r="H6" s="1648"/>
      <c r="I6" s="1648"/>
      <c r="J6" s="1648"/>
    </row>
    <row r="7" spans="1:10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10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>SUM(E9:E16)</f>
        <v>0</v>
      </c>
      <c r="F8" s="141">
        <f>SUM(F9:F16)</f>
        <v>0</v>
      </c>
      <c r="G8" s="141" t="e">
        <f>F8/E8*100</f>
        <v>#DIV/0!</v>
      </c>
      <c r="H8" s="404"/>
      <c r="I8" s="404"/>
    </row>
    <row r="9" spans="1:10" s="96" customFormat="1" ht="15" customHeight="1" x14ac:dyDescent="0.2">
      <c r="A9" s="102"/>
      <c r="B9" s="98" t="s">
        <v>50</v>
      </c>
      <c r="C9" s="4" t="s">
        <v>14</v>
      </c>
      <c r="D9" s="144"/>
      <c r="E9" s="144"/>
      <c r="F9" s="144"/>
      <c r="G9" s="144"/>
      <c r="H9" s="404"/>
      <c r="I9" s="404"/>
    </row>
    <row r="10" spans="1:10" s="96" customFormat="1" ht="15" customHeight="1" x14ac:dyDescent="0.2">
      <c r="A10" s="97"/>
      <c r="B10" s="98" t="s">
        <v>52</v>
      </c>
      <c r="C10" s="3" t="s">
        <v>16</v>
      </c>
      <c r="D10" s="142"/>
      <c r="E10" s="142"/>
      <c r="F10" s="142"/>
      <c r="G10" s="142"/>
      <c r="H10" s="404"/>
      <c r="I10" s="404"/>
    </row>
    <row r="11" spans="1:10" s="96" customFormat="1" ht="15" customHeight="1" x14ac:dyDescent="0.2">
      <c r="A11" s="97"/>
      <c r="B11" s="98" t="s">
        <v>54</v>
      </c>
      <c r="C11" s="3" t="s">
        <v>18</v>
      </c>
      <c r="D11" s="142"/>
      <c r="E11" s="142"/>
      <c r="F11" s="142"/>
      <c r="G11" s="142" t="e">
        <f>F11/E11*100</f>
        <v>#DIV/0!</v>
      </c>
      <c r="H11" s="404"/>
      <c r="I11" s="404"/>
    </row>
    <row r="12" spans="1:10" s="96" customFormat="1" ht="15" customHeight="1" x14ac:dyDescent="0.2">
      <c r="A12" s="97"/>
      <c r="B12" s="98" t="s">
        <v>56</v>
      </c>
      <c r="C12" s="3" t="s">
        <v>20</v>
      </c>
      <c r="D12" s="142"/>
      <c r="E12" s="142"/>
      <c r="F12" s="142"/>
      <c r="G12" s="142"/>
      <c r="H12" s="404"/>
      <c r="I12" s="404"/>
    </row>
    <row r="13" spans="1:10" s="96" customFormat="1" ht="15" customHeight="1" x14ac:dyDescent="0.2">
      <c r="A13" s="97"/>
      <c r="B13" s="98" t="s">
        <v>227</v>
      </c>
      <c r="C13" s="5" t="s">
        <v>22</v>
      </c>
      <c r="D13" s="142"/>
      <c r="E13" s="142"/>
      <c r="F13" s="142"/>
      <c r="G13" s="142"/>
      <c r="H13" s="404"/>
      <c r="I13" s="404"/>
    </row>
    <row r="14" spans="1:10" s="96" customFormat="1" ht="15" customHeight="1" x14ac:dyDescent="0.2">
      <c r="A14" s="100"/>
      <c r="B14" s="98" t="s">
        <v>228</v>
      </c>
      <c r="C14" s="3" t="s">
        <v>24</v>
      </c>
      <c r="D14" s="143"/>
      <c r="E14" s="143"/>
      <c r="F14" s="143"/>
      <c r="G14" s="143"/>
      <c r="H14" s="404"/>
      <c r="I14" s="404"/>
    </row>
    <row r="15" spans="1:10" s="99" customFormat="1" ht="15" customHeight="1" x14ac:dyDescent="0.2">
      <c r="A15" s="97"/>
      <c r="B15" s="98" t="s">
        <v>230</v>
      </c>
      <c r="C15" s="3" t="s">
        <v>25</v>
      </c>
      <c r="D15" s="142"/>
      <c r="E15" s="142"/>
      <c r="F15" s="142"/>
      <c r="G15" s="142"/>
      <c r="H15" s="404"/>
      <c r="I15" s="404"/>
    </row>
    <row r="16" spans="1:10" s="99" customFormat="1" ht="15" customHeight="1" x14ac:dyDescent="0.2">
      <c r="A16" s="104"/>
      <c r="B16" s="105" t="s">
        <v>232</v>
      </c>
      <c r="C16" s="5" t="s">
        <v>26</v>
      </c>
      <c r="D16" s="145">
        <v>0</v>
      </c>
      <c r="E16" s="145"/>
      <c r="F16" s="145"/>
      <c r="G16" s="145" t="e">
        <f>F16/E16*100</f>
        <v>#DIV/0!</v>
      </c>
      <c r="H16" s="404"/>
      <c r="I16" s="404"/>
    </row>
    <row r="17" spans="1:11" s="96" customFormat="1" ht="15" customHeight="1" x14ac:dyDescent="0.2">
      <c r="A17" s="93" t="s">
        <v>3</v>
      </c>
      <c r="B17" s="94"/>
      <c r="C17" s="95" t="s">
        <v>498</v>
      </c>
      <c r="D17" s="141">
        <f>SUM(D18:D23)-D19</f>
        <v>0</v>
      </c>
      <c r="E17" s="141">
        <f>SUM(E18:E23)-E19</f>
        <v>0</v>
      </c>
      <c r="F17" s="141">
        <f>SUM(F18:F23)-F19</f>
        <v>0</v>
      </c>
      <c r="G17" s="141" t="e">
        <f>F17/E17*100</f>
        <v>#DIV/0!</v>
      </c>
      <c r="H17" s="404"/>
      <c r="I17" s="404"/>
    </row>
    <row r="18" spans="1:11" s="99" customFormat="1" ht="15" customHeight="1" x14ac:dyDescent="0.2">
      <c r="A18" s="97"/>
      <c r="B18" s="98" t="s">
        <v>4</v>
      </c>
      <c r="C18" s="7" t="s">
        <v>499</v>
      </c>
      <c r="D18" s="142"/>
      <c r="E18" s="142"/>
      <c r="F18" s="142"/>
      <c r="G18" s="142" t="e">
        <f>F18/E18*100</f>
        <v>#DIV/0!</v>
      </c>
      <c r="H18" s="404"/>
      <c r="I18" s="404"/>
      <c r="J18" s="110"/>
      <c r="K18" s="110"/>
    </row>
    <row r="19" spans="1:11" s="99" customFormat="1" ht="15" customHeight="1" x14ac:dyDescent="0.2">
      <c r="A19" s="97"/>
      <c r="B19" s="98"/>
      <c r="C19" s="400" t="s">
        <v>535</v>
      </c>
      <c r="D19" s="142"/>
      <c r="E19" s="142"/>
      <c r="F19" s="142"/>
      <c r="G19" s="142" t="e">
        <f>F19/E19*100</f>
        <v>#DIV/0!</v>
      </c>
      <c r="H19" s="404"/>
      <c r="I19" s="404"/>
    </row>
    <row r="20" spans="1:11" s="99" customFormat="1" ht="15" customHeight="1" x14ac:dyDescent="0.2">
      <c r="A20" s="97"/>
      <c r="B20" s="98" t="s">
        <v>4</v>
      </c>
      <c r="C20" s="7" t="s">
        <v>985</v>
      </c>
      <c r="D20" s="142"/>
      <c r="E20" s="142"/>
      <c r="F20" s="142"/>
      <c r="G20" s="142" t="e">
        <f>F20/E20*100</f>
        <v>#DIV/0!</v>
      </c>
      <c r="H20" s="404"/>
      <c r="I20" s="404"/>
      <c r="J20" s="110"/>
      <c r="K20" s="110"/>
    </row>
    <row r="21" spans="1:11" s="99" customFormat="1" ht="15" customHeight="1" x14ac:dyDescent="0.2">
      <c r="A21" s="97"/>
      <c r="B21" s="98" t="s">
        <v>6</v>
      </c>
      <c r="C21" s="3" t="s">
        <v>500</v>
      </c>
      <c r="D21" s="142"/>
      <c r="E21" s="142"/>
      <c r="F21" s="142"/>
      <c r="G21" s="142"/>
      <c r="H21" s="404"/>
      <c r="I21" s="404"/>
    </row>
    <row r="22" spans="1:11" s="99" customFormat="1" ht="15" customHeight="1" x14ac:dyDescent="0.2">
      <c r="A22" s="97"/>
      <c r="B22" s="98" t="s">
        <v>7</v>
      </c>
      <c r="C22" s="3" t="s">
        <v>501</v>
      </c>
      <c r="D22" s="142"/>
      <c r="E22" s="142"/>
      <c r="F22" s="142"/>
      <c r="G22" s="142"/>
      <c r="H22" s="404"/>
      <c r="I22" s="404"/>
    </row>
    <row r="23" spans="1:11" s="99" customFormat="1" ht="15" customHeight="1" x14ac:dyDescent="0.2">
      <c r="A23" s="97"/>
      <c r="B23" s="98" t="s">
        <v>8</v>
      </c>
      <c r="C23" s="3" t="s">
        <v>502</v>
      </c>
      <c r="D23" s="142"/>
      <c r="E23" s="142"/>
      <c r="F23" s="142"/>
      <c r="G23" s="142"/>
      <c r="H23" s="404"/>
      <c r="I23" s="404"/>
    </row>
    <row r="24" spans="1:11" s="99" customFormat="1" ht="15" customHeight="1" x14ac:dyDescent="0.2">
      <c r="A24" s="93" t="s">
        <v>12</v>
      </c>
      <c r="B24" s="2"/>
      <c r="C24" s="2" t="s">
        <v>503</v>
      </c>
      <c r="D24" s="119">
        <v>0</v>
      </c>
      <c r="E24" s="119">
        <v>0</v>
      </c>
      <c r="F24" s="119">
        <v>0</v>
      </c>
      <c r="G24" s="119"/>
      <c r="H24" s="404"/>
      <c r="I24" s="404"/>
    </row>
    <row r="25" spans="1:11" s="96" customFormat="1" ht="15" customHeight="1" x14ac:dyDescent="0.2">
      <c r="A25" s="93" t="s">
        <v>68</v>
      </c>
      <c r="B25" s="94"/>
      <c r="C25" s="2" t="s">
        <v>539</v>
      </c>
      <c r="D25" s="119">
        <v>0</v>
      </c>
      <c r="E25" s="119">
        <v>0</v>
      </c>
      <c r="F25" s="119">
        <v>0</v>
      </c>
      <c r="G25" s="119"/>
      <c r="H25" s="404"/>
      <c r="I25" s="404"/>
    </row>
    <row r="26" spans="1:11" s="96" customFormat="1" ht="28.5" x14ac:dyDescent="0.2">
      <c r="A26" s="93" t="s">
        <v>27</v>
      </c>
      <c r="B26" s="115"/>
      <c r="C26" s="2" t="s">
        <v>540</v>
      </c>
      <c r="D26" s="148">
        <f>+D27+D28</f>
        <v>0</v>
      </c>
      <c r="E26" s="148">
        <f>+E27+E28</f>
        <v>0</v>
      </c>
      <c r="F26" s="148">
        <f>+F27+F28</f>
        <v>0</v>
      </c>
      <c r="G26" s="148"/>
      <c r="H26" s="404"/>
      <c r="I26" s="404"/>
    </row>
    <row r="27" spans="1:11" s="96" customFormat="1" ht="15" customHeight="1" x14ac:dyDescent="0.2">
      <c r="A27" s="102"/>
      <c r="B27" s="108" t="s">
        <v>28</v>
      </c>
      <c r="C27" s="4" t="s">
        <v>507</v>
      </c>
      <c r="D27" s="149">
        <v>0</v>
      </c>
      <c r="E27" s="149">
        <v>0</v>
      </c>
      <c r="F27" s="149">
        <v>0</v>
      </c>
      <c r="G27" s="149"/>
      <c r="H27" s="404"/>
      <c r="I27" s="404"/>
    </row>
    <row r="28" spans="1:11" s="96" customFormat="1" ht="15" customHeight="1" x14ac:dyDescent="0.2">
      <c r="A28" s="111"/>
      <c r="B28" s="112" t="s">
        <v>29</v>
      </c>
      <c r="C28" s="6" t="s">
        <v>508</v>
      </c>
      <c r="D28" s="146">
        <v>0</v>
      </c>
      <c r="E28" s="146">
        <v>0</v>
      </c>
      <c r="F28" s="146">
        <v>0</v>
      </c>
      <c r="G28" s="146"/>
      <c r="H28" s="404"/>
      <c r="I28" s="404"/>
    </row>
    <row r="29" spans="1:11" s="99" customFormat="1" ht="15" customHeight="1" x14ac:dyDescent="0.25">
      <c r="A29" s="116" t="s">
        <v>32</v>
      </c>
      <c r="B29" s="117"/>
      <c r="C29" s="2" t="s">
        <v>541</v>
      </c>
      <c r="D29" s="119"/>
      <c r="E29" s="119"/>
      <c r="F29" s="119"/>
      <c r="G29" s="119" t="e">
        <f>F29/E29*100</f>
        <v>#DIV/0!</v>
      </c>
      <c r="H29" s="404"/>
      <c r="I29" s="404"/>
    </row>
    <row r="30" spans="1:11" s="99" customFormat="1" ht="15" customHeight="1" x14ac:dyDescent="0.25">
      <c r="A30" s="116"/>
      <c r="B30" s="117"/>
      <c r="C30" s="2" t="s">
        <v>542</v>
      </c>
      <c r="D30" s="119"/>
      <c r="E30" s="119"/>
      <c r="F30" s="119"/>
      <c r="G30" s="119"/>
      <c r="H30" s="404"/>
      <c r="I30" s="404"/>
    </row>
    <row r="31" spans="1:11" s="99" customFormat="1" ht="15" customHeight="1" x14ac:dyDescent="0.2">
      <c r="A31" s="150" t="s">
        <v>74</v>
      </c>
      <c r="B31" s="151"/>
      <c r="C31" s="354" t="s">
        <v>543</v>
      </c>
      <c r="D31" s="152">
        <f>SUM(D8,D17,D24,D25,D26,D29)</f>
        <v>0</v>
      </c>
      <c r="E31" s="152">
        <f>SUM(E8,E17,E24,E25,E26,E29,E30)</f>
        <v>0</v>
      </c>
      <c r="F31" s="152">
        <f>SUM(F8,F17,F24,F25,F26,F29,F30)</f>
        <v>0</v>
      </c>
      <c r="G31" s="152" t="e">
        <f>F31/E31*100</f>
        <v>#DIV/0!</v>
      </c>
      <c r="H31" s="404"/>
      <c r="I31" s="404"/>
    </row>
    <row r="32" spans="1:11" s="99" customFormat="1" ht="15" customHeight="1" x14ac:dyDescent="0.2">
      <c r="A32" s="336"/>
      <c r="B32" s="336"/>
      <c r="C32" s="355"/>
      <c r="D32" s="388"/>
      <c r="E32" s="388"/>
      <c r="F32" s="388"/>
      <c r="G32" s="388"/>
      <c r="H32" s="404"/>
      <c r="I32" s="404"/>
    </row>
    <row r="33" spans="1:9" s="89" customFormat="1" ht="15" customHeight="1" x14ac:dyDescent="0.2">
      <c r="A33" s="150"/>
      <c r="B33" s="151"/>
      <c r="C33" s="387" t="s">
        <v>82</v>
      </c>
      <c r="D33" s="152"/>
      <c r="E33" s="152"/>
      <c r="F33" s="152"/>
      <c r="G33" s="152"/>
      <c r="H33" s="404"/>
      <c r="I33" s="404"/>
    </row>
    <row r="34" spans="1:9" s="125" customFormat="1" ht="15" customHeight="1" x14ac:dyDescent="0.2">
      <c r="A34" s="93" t="s">
        <v>2</v>
      </c>
      <c r="B34" s="2"/>
      <c r="C34" s="10" t="s">
        <v>49</v>
      </c>
      <c r="D34" s="141">
        <f>SUM(D35+D37+D39)</f>
        <v>0</v>
      </c>
      <c r="E34" s="141">
        <f>SUM(E35+E37+E39)</f>
        <v>0</v>
      </c>
      <c r="F34" s="141">
        <f>SUM(F35+F37+F39)</f>
        <v>0</v>
      </c>
      <c r="G34" s="141" t="e">
        <f t="shared" ref="G34:G40" si="0">F34/E34*100</f>
        <v>#DIV/0!</v>
      </c>
      <c r="H34" s="404"/>
      <c r="I34" s="404"/>
    </row>
    <row r="35" spans="1:9" ht="15" customHeight="1" x14ac:dyDescent="0.2">
      <c r="A35" s="113"/>
      <c r="B35" s="124" t="s">
        <v>50</v>
      </c>
      <c r="C35" s="7" t="s">
        <v>51</v>
      </c>
      <c r="D35" s="147"/>
      <c r="E35" s="147"/>
      <c r="F35" s="147"/>
      <c r="G35" s="147" t="e">
        <f t="shared" si="0"/>
        <v>#DIV/0!</v>
      </c>
      <c r="H35" s="404"/>
      <c r="I35" s="404"/>
    </row>
    <row r="36" spans="1:9" ht="15" customHeight="1" x14ac:dyDescent="0.2">
      <c r="A36" s="113"/>
      <c r="B36" s="124"/>
      <c r="C36" s="400" t="s">
        <v>535</v>
      </c>
      <c r="D36" s="405"/>
      <c r="E36" s="405"/>
      <c r="F36" s="405"/>
      <c r="G36" s="405" t="e">
        <f t="shared" si="0"/>
        <v>#DIV/0!</v>
      </c>
      <c r="H36" s="404"/>
      <c r="I36" s="404"/>
    </row>
    <row r="37" spans="1:9" ht="15" customHeight="1" x14ac:dyDescent="0.2">
      <c r="A37" s="97"/>
      <c r="B37" s="109" t="s">
        <v>52</v>
      </c>
      <c r="C37" s="3" t="s">
        <v>53</v>
      </c>
      <c r="D37" s="142"/>
      <c r="E37" s="142"/>
      <c r="F37" s="142"/>
      <c r="G37" s="142" t="e">
        <f t="shared" si="0"/>
        <v>#DIV/0!</v>
      </c>
      <c r="H37" s="404"/>
      <c r="I37" s="404"/>
    </row>
    <row r="38" spans="1:9" ht="15" customHeight="1" x14ac:dyDescent="0.2">
      <c r="A38" s="97"/>
      <c r="B38" s="109"/>
      <c r="C38" s="400" t="s">
        <v>535</v>
      </c>
      <c r="D38" s="405"/>
      <c r="E38" s="405"/>
      <c r="F38" s="405"/>
      <c r="G38" s="405" t="e">
        <f t="shared" si="0"/>
        <v>#DIV/0!</v>
      </c>
      <c r="H38" s="404"/>
      <c r="I38" s="404"/>
    </row>
    <row r="39" spans="1:9" ht="15" customHeight="1" x14ac:dyDescent="0.2">
      <c r="A39" s="97"/>
      <c r="B39" s="109" t="s">
        <v>54</v>
      </c>
      <c r="C39" s="3" t="s">
        <v>55</v>
      </c>
      <c r="D39" s="142"/>
      <c r="E39" s="142"/>
      <c r="F39" s="142"/>
      <c r="G39" s="142" t="e">
        <f t="shared" si="0"/>
        <v>#DIV/0!</v>
      </c>
      <c r="H39" s="404"/>
      <c r="I39" s="404"/>
    </row>
    <row r="40" spans="1:9" ht="15" customHeight="1" x14ac:dyDescent="0.2">
      <c r="A40" s="97"/>
      <c r="B40" s="109"/>
      <c r="C40" s="400" t="s">
        <v>535</v>
      </c>
      <c r="D40" s="405"/>
      <c r="E40" s="405"/>
      <c r="F40" s="405"/>
      <c r="G40" s="405" t="e">
        <f t="shared" si="0"/>
        <v>#DIV/0!</v>
      </c>
      <c r="H40" s="404"/>
      <c r="I40" s="404"/>
    </row>
    <row r="41" spans="1:9" ht="15" customHeight="1" x14ac:dyDescent="0.2">
      <c r="A41" s="97"/>
      <c r="B41" s="109" t="s">
        <v>56</v>
      </c>
      <c r="C41" s="3" t="s">
        <v>57</v>
      </c>
      <c r="D41" s="142"/>
      <c r="E41" s="142"/>
      <c r="F41" s="142"/>
      <c r="G41" s="142"/>
      <c r="H41" s="404"/>
      <c r="I41" s="404"/>
    </row>
    <row r="42" spans="1:9" ht="15" customHeight="1" x14ac:dyDescent="0.2">
      <c r="A42" s="97"/>
      <c r="B42" s="109" t="s">
        <v>58</v>
      </c>
      <c r="C42" s="3" t="s">
        <v>59</v>
      </c>
      <c r="D42" s="142">
        <v>0</v>
      </c>
      <c r="E42" s="142">
        <v>0</v>
      </c>
      <c r="F42" s="142">
        <v>0</v>
      </c>
      <c r="G42" s="142"/>
      <c r="H42" s="404"/>
      <c r="I42" s="404"/>
    </row>
    <row r="43" spans="1:9" ht="15" customHeight="1" x14ac:dyDescent="0.2">
      <c r="A43" s="93" t="s">
        <v>3</v>
      </c>
      <c r="B43" s="2"/>
      <c r="C43" s="10" t="s">
        <v>519</v>
      </c>
      <c r="D43" s="141">
        <f>SUM(D44:D47)</f>
        <v>0</v>
      </c>
      <c r="E43" s="141">
        <f>SUM(E44:E47)</f>
        <v>0</v>
      </c>
      <c r="F43" s="141">
        <f>SUM(F44:F47)</f>
        <v>0</v>
      </c>
      <c r="G43" s="141"/>
      <c r="H43" s="404"/>
      <c r="I43" s="404"/>
    </row>
    <row r="44" spans="1:9" s="125" customFormat="1" ht="15" customHeight="1" x14ac:dyDescent="0.2">
      <c r="A44" s="113"/>
      <c r="B44" s="124" t="s">
        <v>4</v>
      </c>
      <c r="C44" s="7" t="s">
        <v>512</v>
      </c>
      <c r="D44" s="147">
        <v>0</v>
      </c>
      <c r="E44" s="147">
        <v>0</v>
      </c>
      <c r="F44" s="147">
        <v>0</v>
      </c>
      <c r="G44" s="147"/>
      <c r="H44" s="404"/>
      <c r="I44" s="404"/>
    </row>
    <row r="45" spans="1:9" ht="15" customHeight="1" x14ac:dyDescent="0.2">
      <c r="A45" s="97"/>
      <c r="B45" s="109" t="s">
        <v>6</v>
      </c>
      <c r="C45" s="3" t="s">
        <v>64</v>
      </c>
      <c r="D45" s="142">
        <v>0</v>
      </c>
      <c r="E45" s="142">
        <v>0</v>
      </c>
      <c r="F45" s="142">
        <v>0</v>
      </c>
      <c r="G45" s="142"/>
      <c r="H45" s="404"/>
      <c r="I45" s="404"/>
    </row>
    <row r="46" spans="1:9" ht="30" customHeight="1" x14ac:dyDescent="0.2">
      <c r="A46" s="97"/>
      <c r="B46" s="109" t="s">
        <v>9</v>
      </c>
      <c r="C46" s="3" t="s">
        <v>65</v>
      </c>
      <c r="D46" s="142">
        <v>0</v>
      </c>
      <c r="E46" s="142">
        <v>0</v>
      </c>
      <c r="F46" s="142">
        <v>0</v>
      </c>
      <c r="G46" s="142"/>
      <c r="H46" s="404"/>
      <c r="I46" s="404"/>
    </row>
    <row r="47" spans="1:9" ht="15" customHeight="1" x14ac:dyDescent="0.2">
      <c r="A47" s="97"/>
      <c r="B47" s="109" t="s">
        <v>11</v>
      </c>
      <c r="C47" s="3" t="s">
        <v>513</v>
      </c>
      <c r="D47" s="142">
        <v>0</v>
      </c>
      <c r="E47" s="142">
        <v>0</v>
      </c>
      <c r="F47" s="142">
        <v>0</v>
      </c>
      <c r="G47" s="142"/>
      <c r="H47" s="404"/>
      <c r="I47" s="404"/>
    </row>
    <row r="48" spans="1:9" ht="15" customHeight="1" x14ac:dyDescent="0.2">
      <c r="A48" s="93" t="s">
        <v>12</v>
      </c>
      <c r="B48" s="2"/>
      <c r="C48" s="10" t="s">
        <v>514</v>
      </c>
      <c r="D48" s="119">
        <v>0</v>
      </c>
      <c r="E48" s="119">
        <v>0</v>
      </c>
      <c r="F48" s="119">
        <v>0</v>
      </c>
      <c r="G48" s="119"/>
      <c r="H48" s="404"/>
      <c r="I48" s="404"/>
    </row>
    <row r="49" spans="1:9" s="99" customFormat="1" ht="15" customHeight="1" x14ac:dyDescent="0.2">
      <c r="A49" s="93"/>
      <c r="B49" s="2"/>
      <c r="C49" s="10" t="s">
        <v>515</v>
      </c>
      <c r="D49" s="119"/>
      <c r="E49" s="119"/>
      <c r="F49" s="119"/>
      <c r="G49" s="119"/>
      <c r="H49" s="404"/>
      <c r="I49" s="404"/>
    </row>
    <row r="50" spans="1:9" ht="15" customHeight="1" x14ac:dyDescent="0.2">
      <c r="A50" s="150" t="s">
        <v>68</v>
      </c>
      <c r="B50" s="151"/>
      <c r="C50" s="354" t="s">
        <v>516</v>
      </c>
      <c r="D50" s="152">
        <f>+D34+D43+D48</f>
        <v>0</v>
      </c>
      <c r="E50" s="152">
        <f>+E34+E43+E48+E49</f>
        <v>0</v>
      </c>
      <c r="F50" s="152">
        <f>+F34+F43+F48+F49</f>
        <v>0</v>
      </c>
      <c r="G50" s="152" t="e">
        <f>F50/E50*100</f>
        <v>#DIV/0!</v>
      </c>
      <c r="H50" s="404"/>
      <c r="I50" s="404"/>
    </row>
    <row r="51" spans="1:9" ht="15" customHeight="1" x14ac:dyDescent="0.2">
      <c r="A51" s="403"/>
      <c r="B51" s="336"/>
      <c r="C51" s="355" t="s">
        <v>544</v>
      </c>
      <c r="D51" s="388">
        <f>SUM(D36+D38+D40)</f>
        <v>0</v>
      </c>
      <c r="E51" s="388">
        <f>SUM(E36+E38+E40)</f>
        <v>0</v>
      </c>
      <c r="F51" s="388">
        <f>SUM(F36+F38+F40)</f>
        <v>0</v>
      </c>
      <c r="G51" s="388" t="e">
        <f>F51/E51*100</f>
        <v>#DIV/0!</v>
      </c>
      <c r="H51" s="404"/>
      <c r="I51" s="404"/>
    </row>
    <row r="52" spans="1:9" ht="15" customHeight="1" x14ac:dyDescent="0.2">
      <c r="A52" s="133" t="s">
        <v>136</v>
      </c>
      <c r="B52" s="134"/>
      <c r="C52" s="135"/>
      <c r="D52" s="356"/>
      <c r="E52" s="356"/>
      <c r="F52" s="356"/>
      <c r="G52" s="356"/>
      <c r="H52" s="404"/>
      <c r="I52" s="404"/>
    </row>
    <row r="53" spans="1:9" ht="15" customHeight="1" x14ac:dyDescent="0.2">
      <c r="A53" s="133" t="s">
        <v>137</v>
      </c>
      <c r="B53" s="134"/>
      <c r="C53" s="135"/>
      <c r="D53" s="356"/>
      <c r="E53" s="356"/>
      <c r="F53" s="356"/>
      <c r="G53" s="356"/>
    </row>
  </sheetData>
  <sheetProtection selectLockedCells="1" selectUnlockedCells="1"/>
  <mergeCells count="7">
    <mergeCell ref="H6:J6"/>
    <mergeCell ref="D2:D3"/>
    <mergeCell ref="D1:G1"/>
    <mergeCell ref="A2:B2"/>
    <mergeCell ref="A3:B3"/>
    <mergeCell ref="D4:F4"/>
    <mergeCell ref="A5:B5"/>
  </mergeCells>
  <printOptions horizontalCentered="1"/>
  <pageMargins left="0.23622047244094491" right="0.23622047244094491" top="0.31496062992125984" bottom="0.39370078740157483" header="0.51181102362204722" footer="0.19685039370078741"/>
  <pageSetup paperSize="9" scale="82" firstPageNumber="42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3"/>
  <sheetViews>
    <sheetView view="pageBreakPreview" topLeftCell="A32" zoomScaleNormal="130" zoomScaleSheetLayoutView="100" workbookViewId="0">
      <selection activeCell="I29" sqref="I29"/>
    </sheetView>
  </sheetViews>
  <sheetFormatPr defaultRowHeight="12.75" x14ac:dyDescent="0.2"/>
  <cols>
    <col min="1" max="1" width="6.1640625" style="75" customWidth="1"/>
    <col min="2" max="2" width="10" style="76" customWidth="1"/>
    <col min="3" max="3" width="72.33203125" style="76" customWidth="1"/>
    <col min="4" max="4" width="15" style="76" hidden="1" customWidth="1"/>
    <col min="5" max="5" width="15.33203125" style="76" hidden="1" customWidth="1"/>
    <col min="6" max="6" width="14.6640625" style="76" customWidth="1"/>
    <col min="7" max="7" width="7.83203125" style="76" hidden="1" customWidth="1"/>
    <col min="8" max="8" width="9.33203125" style="76"/>
    <col min="9" max="9" width="11.83203125" style="76" bestFit="1" customWidth="1"/>
    <col min="10" max="10" width="14" style="76" customWidth="1"/>
    <col min="11" max="16384" width="9.33203125" style="76"/>
  </cols>
  <sheetData>
    <row r="1" spans="1:10" s="79" customFormat="1" ht="33.75" customHeight="1" thickBot="1" x14ac:dyDescent="0.25">
      <c r="A1" s="1521" t="s">
        <v>120</v>
      </c>
      <c r="B1" s="1522"/>
      <c r="C1" s="1254" t="s">
        <v>138</v>
      </c>
      <c r="D1" s="1523" t="s">
        <v>1024</v>
      </c>
      <c r="E1" s="343"/>
      <c r="F1" s="1523" t="s">
        <v>1420</v>
      </c>
      <c r="G1" s="1254"/>
    </row>
    <row r="2" spans="1:10" s="79" customFormat="1" ht="33.75" customHeight="1" thickBot="1" x14ac:dyDescent="0.25">
      <c r="A2" s="1525" t="s">
        <v>122</v>
      </c>
      <c r="B2" s="1526"/>
      <c r="C2" s="80" t="s">
        <v>1635</v>
      </c>
      <c r="D2" s="1524"/>
      <c r="E2" s="327"/>
      <c r="F2" s="1524"/>
      <c r="G2" s="137"/>
    </row>
    <row r="3" spans="1:10" s="83" customFormat="1" ht="15.95" customHeight="1" thickBot="1" x14ac:dyDescent="0.3">
      <c r="A3" s="138"/>
      <c r="B3" s="138"/>
      <c r="C3" s="138"/>
      <c r="D3" s="1527"/>
      <c r="E3" s="1527"/>
      <c r="F3" s="1527"/>
      <c r="G3" s="82" t="s">
        <v>79</v>
      </c>
    </row>
    <row r="4" spans="1:10" ht="33.75" customHeight="1" thickBot="1" x14ac:dyDescent="0.25">
      <c r="A4" s="1528" t="s">
        <v>124</v>
      </c>
      <c r="B4" s="1528"/>
      <c r="C4" s="85" t="s">
        <v>125</v>
      </c>
      <c r="D4" s="86" t="s">
        <v>126</v>
      </c>
      <c r="E4" s="86" t="s">
        <v>127</v>
      </c>
      <c r="F4" s="86" t="s">
        <v>128</v>
      </c>
      <c r="G4" s="86" t="s">
        <v>1</v>
      </c>
    </row>
    <row r="5" spans="1:10" s="89" customFormat="1" ht="15" customHeight="1" thickBot="1" x14ac:dyDescent="0.25">
      <c r="A5" s="1255">
        <v>1</v>
      </c>
      <c r="B5" s="87">
        <v>2</v>
      </c>
      <c r="C5" s="87">
        <v>3</v>
      </c>
      <c r="D5" s="88">
        <v>4</v>
      </c>
      <c r="E5" s="88">
        <v>5</v>
      </c>
      <c r="F5" s="88">
        <v>6</v>
      </c>
      <c r="G5" s="88">
        <v>7</v>
      </c>
    </row>
    <row r="6" spans="1:10" s="89" customFormat="1" ht="21" customHeight="1" thickBot="1" x14ac:dyDescent="0.25">
      <c r="A6" s="90"/>
      <c r="B6" s="91"/>
      <c r="C6" s="92" t="s">
        <v>81</v>
      </c>
      <c r="D6" s="139"/>
      <c r="E6" s="139"/>
      <c r="F6" s="139"/>
      <c r="G6" s="139"/>
    </row>
    <row r="7" spans="1:10" s="89" customFormat="1" ht="31.5" customHeight="1" thickBot="1" x14ac:dyDescent="0.25">
      <c r="A7" s="1256" t="s">
        <v>2</v>
      </c>
      <c r="B7" s="140"/>
      <c r="C7" s="1291" t="s">
        <v>1616</v>
      </c>
      <c r="D7" s="141">
        <f>SUM(D8+D16)</f>
        <v>1702679</v>
      </c>
      <c r="E7" s="141">
        <f t="shared" ref="E7" si="0">SUM(E8+E16)</f>
        <v>1840160</v>
      </c>
      <c r="F7" s="1293">
        <f>SUM(F8+F16)+F26</f>
        <v>1830089</v>
      </c>
      <c r="G7" s="141">
        <f>F7/E7*100</f>
        <v>99.452710633857919</v>
      </c>
      <c r="I7" s="1135"/>
      <c r="J7" s="1135"/>
    </row>
    <row r="8" spans="1:10" s="96" customFormat="1" ht="19.5" customHeight="1" thickBot="1" x14ac:dyDescent="0.25">
      <c r="A8" s="1256" t="s">
        <v>3</v>
      </c>
      <c r="B8" s="140"/>
      <c r="C8" s="368" t="s">
        <v>85</v>
      </c>
      <c r="D8" s="141">
        <f>SUM(D9:D14)</f>
        <v>1625000</v>
      </c>
      <c r="E8" s="141">
        <f t="shared" ref="E8" si="1">SUM(E9:E14)</f>
        <v>1685336</v>
      </c>
      <c r="F8" s="141">
        <f>SUM('3. sz. mell'!F8-'3.b. sz. mell'!F8-'3.c. sz. mell '!F8)</f>
        <v>1271487</v>
      </c>
      <c r="G8" s="141">
        <f t="shared" ref="G8:G41" si="2">F8/E8*100</f>
        <v>75.444125088409677</v>
      </c>
      <c r="I8" s="1135"/>
      <c r="J8" s="1135"/>
    </row>
    <row r="9" spans="1:10" s="99" customFormat="1" ht="15" hidden="1" customHeight="1" x14ac:dyDescent="0.2">
      <c r="A9" s="97"/>
      <c r="B9" s="98"/>
      <c r="C9" s="375"/>
      <c r="D9" s="142">
        <f>SUM('3.1.asz.melléklet'!E31+'3.1.asz.melléklet'!E34+'3.1.asz.melléklet'!E45)</f>
        <v>1515000</v>
      </c>
      <c r="E9" s="142">
        <f>SUM('3.1.asz.melléklet'!F31+'3.1.asz.melléklet'!F34+'3.1.asz.melléklet'!F45)</f>
        <v>1573836</v>
      </c>
      <c r="F9" s="141">
        <f>SUM('3. sz. mell'!F9-'3.b. sz. mell'!F9-'3.c. sz. mell '!F9)</f>
        <v>0</v>
      </c>
      <c r="G9" s="142">
        <f t="shared" si="2"/>
        <v>0</v>
      </c>
      <c r="I9" s="1135"/>
      <c r="J9" s="1135"/>
    </row>
    <row r="10" spans="1:10" s="99" customFormat="1" ht="15" hidden="1" customHeight="1" x14ac:dyDescent="0.2">
      <c r="A10" s="97"/>
      <c r="B10" s="98"/>
      <c r="C10" s="375"/>
      <c r="D10" s="142"/>
      <c r="E10" s="142"/>
      <c r="F10" s="141">
        <f>SUM('3. sz. mell'!F10-'3.b. sz. mell'!F10-'3.c. sz. mell '!F10)</f>
        <v>0</v>
      </c>
      <c r="G10" s="142"/>
      <c r="I10" s="1135"/>
      <c r="J10" s="1135"/>
    </row>
    <row r="11" spans="1:10" s="99" customFormat="1" ht="15" hidden="1" customHeight="1" x14ac:dyDescent="0.2">
      <c r="A11" s="97"/>
      <c r="B11" s="98"/>
      <c r="C11" s="375"/>
      <c r="D11" s="142">
        <f>SUM('3.1.asz.melléklet'!E46)</f>
        <v>100000</v>
      </c>
      <c r="E11" s="142">
        <f>SUM('3.1.asz.melléklet'!F46)</f>
        <v>100000</v>
      </c>
      <c r="F11" s="141">
        <f>SUM('3. sz. mell'!F11-'3.b. sz. mell'!F11-'3.c. sz. mell '!F11)</f>
        <v>0</v>
      </c>
      <c r="G11" s="142">
        <f t="shared" si="2"/>
        <v>0</v>
      </c>
      <c r="I11" s="1135"/>
      <c r="J11" s="1135"/>
    </row>
    <row r="12" spans="1:10" s="99" customFormat="1" ht="15" hidden="1" customHeight="1" x14ac:dyDescent="0.2">
      <c r="A12" s="97"/>
      <c r="B12" s="98"/>
      <c r="C12" s="375"/>
      <c r="D12" s="142">
        <f>SUM('3.1.asz.melléklet'!E44)</f>
        <v>10000</v>
      </c>
      <c r="E12" s="142">
        <f>SUM('3.1.asz.melléklet'!F44+'3.1.asz.melléklet'!F51)</f>
        <v>11500</v>
      </c>
      <c r="F12" s="141">
        <f>SUM('3. sz. mell'!F12-'3.b. sz. mell'!F12-'3.c. sz. mell '!F12)</f>
        <v>0</v>
      </c>
      <c r="G12" s="142">
        <f t="shared" si="2"/>
        <v>0</v>
      </c>
      <c r="I12" s="1135"/>
      <c r="J12" s="1135"/>
    </row>
    <row r="13" spans="1:10" s="99" customFormat="1" ht="15" hidden="1" customHeight="1" x14ac:dyDescent="0.2">
      <c r="A13" s="97"/>
      <c r="B13" s="98"/>
      <c r="C13" s="375"/>
      <c r="D13" s="142"/>
      <c r="E13" s="142"/>
      <c r="F13" s="141">
        <f>SUM('3. sz. mell'!F13-'3.b. sz. mell'!F13-'3.c. sz. mell '!F13)</f>
        <v>0</v>
      </c>
      <c r="G13" s="142"/>
      <c r="I13" s="1135"/>
      <c r="J13" s="1135"/>
    </row>
    <row r="14" spans="1:10" s="99" customFormat="1" ht="15" hidden="1" customHeight="1" x14ac:dyDescent="0.2">
      <c r="A14" s="97"/>
      <c r="B14" s="98"/>
      <c r="C14" s="375"/>
      <c r="D14" s="142"/>
      <c r="E14" s="142"/>
      <c r="F14" s="141">
        <f>SUM('3. sz. mell'!F14-'3.b. sz. mell'!F14-'3.c. sz. mell '!F14)</f>
        <v>0</v>
      </c>
      <c r="G14" s="142"/>
      <c r="I14" s="1135"/>
      <c r="J14" s="1135"/>
    </row>
    <row r="15" spans="1:10" s="99" customFormat="1" ht="15" hidden="1" customHeight="1" x14ac:dyDescent="0.2">
      <c r="A15" s="100"/>
      <c r="B15" s="98"/>
      <c r="C15" s="1292"/>
      <c r="D15" s="143"/>
      <c r="E15" s="143"/>
      <c r="F15" s="141">
        <f>SUM('3. sz. mell'!F15-'3.b. sz. mell'!F15-'3.c. sz. mell '!F15)</f>
        <v>0</v>
      </c>
      <c r="G15" s="142"/>
      <c r="I15" s="1135"/>
      <c r="J15" s="1135"/>
    </row>
    <row r="16" spans="1:10" s="96" customFormat="1" ht="18.75" customHeight="1" thickBot="1" x14ac:dyDescent="0.25">
      <c r="A16" s="1256" t="s">
        <v>12</v>
      </c>
      <c r="B16" s="94"/>
      <c r="C16" s="368" t="s">
        <v>1615</v>
      </c>
      <c r="D16" s="141">
        <f>SUM(D17:D24)</f>
        <v>77679</v>
      </c>
      <c r="E16" s="141">
        <f t="shared" ref="E16" si="3">SUM(E17:E24)</f>
        <v>154824</v>
      </c>
      <c r="F16" s="141">
        <f>SUM('3. sz. mell'!F16-'3.b. sz. mell'!F16-'3.c. sz. mell '!F16)</f>
        <v>12805</v>
      </c>
      <c r="G16" s="141">
        <f t="shared" si="2"/>
        <v>8.2706815480804003</v>
      </c>
      <c r="I16" s="1135"/>
      <c r="J16" s="1135"/>
    </row>
    <row r="17" spans="1:10" s="96" customFormat="1" ht="15" hidden="1" customHeight="1" x14ac:dyDescent="0.2">
      <c r="A17" s="1257"/>
      <c r="B17" s="98"/>
      <c r="C17" s="375"/>
      <c r="D17" s="144"/>
      <c r="E17" s="144"/>
      <c r="F17" s="141">
        <f>SUM('3. sz. mell'!F17-'3.b. sz. mell'!F17-'3.c. sz. mell '!F17)</f>
        <v>0</v>
      </c>
      <c r="G17" s="144"/>
      <c r="I17" s="1135"/>
      <c r="J17" s="1135"/>
    </row>
    <row r="18" spans="1:10" s="96" customFormat="1" ht="15" hidden="1" customHeight="1" x14ac:dyDescent="0.2">
      <c r="A18" s="97"/>
      <c r="B18" s="98"/>
      <c r="C18" s="375"/>
      <c r="D18" s="142">
        <f>SUM('3.1.asz.melléklet'!E7)</f>
        <v>15400</v>
      </c>
      <c r="E18" s="142">
        <f>SUM('3.1.asz.melléklet'!F7+'3.1.asz.melléklet'!F28)</f>
        <v>74385</v>
      </c>
      <c r="F18" s="141">
        <f>SUM('3. sz. mell'!F18-'3.b. sz. mell'!F18-'3.c. sz. mell '!F18)</f>
        <v>0</v>
      </c>
      <c r="G18" s="142">
        <f t="shared" si="2"/>
        <v>0</v>
      </c>
      <c r="I18" s="1135"/>
      <c r="J18" s="1135"/>
    </row>
    <row r="19" spans="1:10" s="96" customFormat="1" ht="15" hidden="1" customHeight="1" x14ac:dyDescent="0.2">
      <c r="A19" s="97"/>
      <c r="B19" s="98"/>
      <c r="C19" s="375"/>
      <c r="D19" s="142">
        <f>SUM('3.1.asz.melléklet'!E15)</f>
        <v>50803</v>
      </c>
      <c r="E19" s="142">
        <f>SUM('3.1.asz.melléklet'!F15)</f>
        <v>50803</v>
      </c>
      <c r="F19" s="141">
        <f>SUM('3. sz. mell'!F19-'3.b. sz. mell'!F19-'3.c. sz. mell '!F19)</f>
        <v>0</v>
      </c>
      <c r="G19" s="142">
        <f t="shared" si="2"/>
        <v>0</v>
      </c>
      <c r="I19" s="1135"/>
      <c r="J19" s="1135"/>
    </row>
    <row r="20" spans="1:10" s="96" customFormat="1" ht="15" hidden="1" customHeight="1" x14ac:dyDescent="0.2">
      <c r="A20" s="97"/>
      <c r="B20" s="98"/>
      <c r="C20" s="375"/>
      <c r="D20" s="142"/>
      <c r="E20" s="142"/>
      <c r="F20" s="141">
        <f>SUM('3. sz. mell'!F20-'3.b. sz. mell'!F20-'3.c. sz. mell '!F20)</f>
        <v>0</v>
      </c>
      <c r="G20" s="142"/>
      <c r="I20" s="1135"/>
      <c r="J20" s="1135"/>
    </row>
    <row r="21" spans="1:10" s="96" customFormat="1" ht="15" hidden="1" customHeight="1" x14ac:dyDescent="0.2">
      <c r="A21" s="97"/>
      <c r="B21" s="98"/>
      <c r="C21" s="375"/>
      <c r="D21" s="142"/>
      <c r="E21" s="142"/>
      <c r="F21" s="141">
        <f>SUM('3. sz. mell'!F21-'3.b. sz. mell'!F21-'3.c. sz. mell '!F21)</f>
        <v>0</v>
      </c>
      <c r="G21" s="142"/>
      <c r="I21" s="1135"/>
      <c r="J21" s="1135"/>
    </row>
    <row r="22" spans="1:10" s="96" customFormat="1" ht="15" hidden="1" customHeight="1" x14ac:dyDescent="0.2">
      <c r="A22" s="100"/>
      <c r="B22" s="98"/>
      <c r="C22" s="375"/>
      <c r="D22" s="143">
        <f>SUM('3.1.asz.melléklet'!E26)</f>
        <v>11476</v>
      </c>
      <c r="E22" s="143">
        <f>SUM('3.1.asz.melléklet'!F26)</f>
        <v>23800</v>
      </c>
      <c r="F22" s="141">
        <f>SUM('3. sz. mell'!F22-'3.b. sz. mell'!F22-'3.c. sz. mell '!F22)</f>
        <v>0</v>
      </c>
      <c r="G22" s="143">
        <f t="shared" si="2"/>
        <v>0</v>
      </c>
      <c r="I22" s="1135"/>
      <c r="J22" s="1135"/>
    </row>
    <row r="23" spans="1:10" s="99" customFormat="1" ht="15" hidden="1" customHeight="1" x14ac:dyDescent="0.2">
      <c r="A23" s="97"/>
      <c r="B23" s="98"/>
      <c r="C23" s="375"/>
      <c r="D23" s="142">
        <f>SUM('3.1.asz.melléklet'!E25)</f>
        <v>0</v>
      </c>
      <c r="E23" s="142">
        <f>SUM('3.1.asz.melléklet'!F25)</f>
        <v>5836</v>
      </c>
      <c r="F23" s="141">
        <f>SUM('3. sz. mell'!F23-'3.b. sz. mell'!F23-'3.c. sz. mell '!F23)</f>
        <v>0</v>
      </c>
      <c r="G23" s="142">
        <f t="shared" si="2"/>
        <v>0</v>
      </c>
      <c r="I23" s="1135"/>
      <c r="J23" s="1135"/>
    </row>
    <row r="24" spans="1:10" s="99" customFormat="1" ht="15" hidden="1" customHeight="1" thickBot="1" x14ac:dyDescent="0.25">
      <c r="A24" s="104"/>
      <c r="B24" s="105"/>
      <c r="C24" s="375"/>
      <c r="D24" s="145"/>
      <c r="E24" s="145"/>
      <c r="F24" s="141">
        <f>SUM('3. sz. mell'!F24-'3.b. sz. mell'!F24-'3.c. sz. mell '!F24)</f>
        <v>0</v>
      </c>
      <c r="G24" s="145"/>
      <c r="I24" s="1135"/>
      <c r="J24" s="1135"/>
    </row>
    <row r="25" spans="1:10" s="99" customFormat="1" ht="15" hidden="1" customHeight="1" x14ac:dyDescent="0.2">
      <c r="A25" s="1256"/>
      <c r="B25" s="106"/>
      <c r="C25" s="368"/>
      <c r="D25" s="119"/>
      <c r="E25" s="119"/>
      <c r="F25" s="141">
        <f>SUM('3. sz. mell'!F25-'3.b. sz. mell'!F25-'3.c. sz. mell '!F25)</f>
        <v>0</v>
      </c>
      <c r="G25" s="141" t="e">
        <f t="shared" si="2"/>
        <v>#DIV/0!</v>
      </c>
      <c r="I25" s="1135"/>
      <c r="J25" s="1135"/>
    </row>
    <row r="26" spans="1:10" s="96" customFormat="1" ht="21" customHeight="1" thickBot="1" x14ac:dyDescent="0.25">
      <c r="A26" s="1256" t="s">
        <v>68</v>
      </c>
      <c r="B26" s="94"/>
      <c r="C26" s="368" t="s">
        <v>1614</v>
      </c>
      <c r="D26" s="141">
        <f>SUM(D27:D32)</f>
        <v>0</v>
      </c>
      <c r="E26" s="141">
        <f>SUM(E27:E32)</f>
        <v>0</v>
      </c>
      <c r="F26" s="141">
        <f>SUM('3. sz. mell'!F26-'3.b. sz. mell'!F26-'3.c. sz. mell '!F26)</f>
        <v>545797</v>
      </c>
      <c r="G26" s="141" t="e">
        <f t="shared" si="2"/>
        <v>#DIV/0!</v>
      </c>
      <c r="I26" s="1135"/>
      <c r="J26" s="1135"/>
    </row>
    <row r="27" spans="1:10" s="99" customFormat="1" ht="30.75" customHeight="1" thickBot="1" x14ac:dyDescent="0.25">
      <c r="A27" s="1256" t="s">
        <v>27</v>
      </c>
      <c r="B27" s="98"/>
      <c r="C27" s="1291" t="s">
        <v>1617</v>
      </c>
      <c r="D27" s="142"/>
      <c r="E27" s="142"/>
      <c r="F27" s="1293"/>
      <c r="G27" s="142" t="e">
        <f t="shared" si="2"/>
        <v>#DIV/0!</v>
      </c>
      <c r="I27" s="1135"/>
      <c r="J27" s="1135"/>
    </row>
    <row r="28" spans="1:10" s="99" customFormat="1" ht="18.75" customHeight="1" thickBot="1" x14ac:dyDescent="0.25">
      <c r="A28" s="1256" t="s">
        <v>32</v>
      </c>
      <c r="B28" s="98"/>
      <c r="C28" s="368" t="s">
        <v>1587</v>
      </c>
      <c r="D28" s="142"/>
      <c r="E28" s="142"/>
      <c r="F28" s="141"/>
      <c r="G28" s="142" t="e">
        <f t="shared" si="2"/>
        <v>#DIV/0!</v>
      </c>
      <c r="I28" s="1135"/>
      <c r="J28" s="1135"/>
    </row>
    <row r="29" spans="1:10" s="99" customFormat="1" ht="18.75" customHeight="1" thickBot="1" x14ac:dyDescent="0.25">
      <c r="A29" s="1256" t="s">
        <v>74</v>
      </c>
      <c r="B29" s="98"/>
      <c r="C29" s="368" t="s">
        <v>1618</v>
      </c>
      <c r="D29" s="142"/>
      <c r="E29" s="142"/>
      <c r="F29" s="141"/>
      <c r="G29" s="142" t="e">
        <f t="shared" si="2"/>
        <v>#DIV/0!</v>
      </c>
      <c r="I29" s="1135"/>
      <c r="J29" s="1135"/>
    </row>
    <row r="30" spans="1:10" s="99" customFormat="1" ht="18.75" customHeight="1" thickBot="1" x14ac:dyDescent="0.25">
      <c r="A30" s="1256" t="s">
        <v>38</v>
      </c>
      <c r="B30" s="98"/>
      <c r="C30" s="368" t="s">
        <v>1171</v>
      </c>
      <c r="D30" s="142"/>
      <c r="E30" s="142"/>
      <c r="F30" s="141"/>
      <c r="G30" s="142"/>
      <c r="I30" s="1135"/>
      <c r="J30" s="1135"/>
    </row>
    <row r="31" spans="1:10" s="99" customFormat="1" ht="21.75" customHeight="1" thickBot="1" x14ac:dyDescent="0.25">
      <c r="A31" s="97"/>
      <c r="B31" s="98"/>
      <c r="C31" s="1291" t="s">
        <v>1619</v>
      </c>
      <c r="D31" s="142"/>
      <c r="E31" s="142"/>
      <c r="F31" s="142">
        <f>SUM(F32)</f>
        <v>0</v>
      </c>
      <c r="G31" s="142"/>
      <c r="I31" s="1135"/>
      <c r="J31" s="1135"/>
    </row>
    <row r="32" spans="1:10" s="99" customFormat="1" ht="16.5" customHeight="1" thickBot="1" x14ac:dyDescent="0.25">
      <c r="A32" s="97"/>
      <c r="B32" s="98"/>
      <c r="C32" s="368" t="s">
        <v>1595</v>
      </c>
      <c r="D32" s="142"/>
      <c r="E32" s="142"/>
      <c r="F32" s="142">
        <f>SUM('3.1.asz.melléklet'!G151)</f>
        <v>0</v>
      </c>
      <c r="G32" s="142"/>
      <c r="I32" s="1135"/>
      <c r="J32" s="1135"/>
    </row>
    <row r="33" spans="1:11" s="99" customFormat="1" ht="21" customHeight="1" thickBot="1" x14ac:dyDescent="0.25">
      <c r="A33" s="150" t="s">
        <v>45</v>
      </c>
      <c r="B33" s="151"/>
      <c r="C33" s="9" t="s">
        <v>1213</v>
      </c>
      <c r="D33" s="152" t="e">
        <f>+#REF!+#REF!+#REF!</f>
        <v>#REF!</v>
      </c>
      <c r="E33" s="152" t="e">
        <f>+#REF!+#REF!+#REF!</f>
        <v>#REF!</v>
      </c>
      <c r="F33" s="152">
        <f>SUM(F7+F27+F31)</f>
        <v>1830089</v>
      </c>
      <c r="G33" s="152" t="e">
        <f t="shared" si="2"/>
        <v>#REF!</v>
      </c>
      <c r="I33" s="1135"/>
      <c r="J33" s="1135"/>
    </row>
    <row r="34" spans="1:11" s="99" customFormat="1" ht="15" customHeight="1" thickBot="1" x14ac:dyDescent="0.25">
      <c r="A34" s="153"/>
      <c r="B34" s="153"/>
      <c r="C34" s="154"/>
      <c r="D34" s="155"/>
      <c r="E34" s="155"/>
      <c r="F34" s="155"/>
      <c r="G34" s="155"/>
      <c r="I34" s="1135"/>
      <c r="J34" s="1135"/>
      <c r="K34" s="110">
        <f>SUM(F72-F33)</f>
        <v>0</v>
      </c>
    </row>
    <row r="35" spans="1:11" s="89" customFormat="1" ht="20.25" customHeight="1" thickBot="1" x14ac:dyDescent="0.25">
      <c r="A35" s="156"/>
      <c r="B35" s="157"/>
      <c r="C35" s="121" t="s">
        <v>82</v>
      </c>
      <c r="D35" s="122"/>
      <c r="E35" s="122"/>
      <c r="F35" s="122"/>
      <c r="G35" s="122"/>
      <c r="I35" s="1135"/>
      <c r="J35" s="1135"/>
    </row>
    <row r="36" spans="1:11" s="125" customFormat="1" ht="15" customHeight="1" thickBot="1" x14ac:dyDescent="0.25">
      <c r="A36" s="1256" t="s">
        <v>2</v>
      </c>
      <c r="B36" s="2"/>
      <c r="C36" s="10" t="s">
        <v>1620</v>
      </c>
      <c r="D36" s="141">
        <f>SUM(D37:D41)+D50</f>
        <v>873535</v>
      </c>
      <c r="E36" s="141">
        <f t="shared" ref="E36" si="4">SUM(E37:E41)+E50</f>
        <v>1045962</v>
      </c>
      <c r="F36" s="141">
        <f>SUM(F37:F41)</f>
        <v>649652</v>
      </c>
      <c r="G36" s="141">
        <f t="shared" si="2"/>
        <v>62.11047820092891</v>
      </c>
      <c r="I36" s="1135"/>
      <c r="J36" s="1135"/>
    </row>
    <row r="37" spans="1:11" ht="15" customHeight="1" x14ac:dyDescent="0.2">
      <c r="A37" s="113"/>
      <c r="B37" s="124" t="s">
        <v>50</v>
      </c>
      <c r="C37" s="3" t="s">
        <v>51</v>
      </c>
      <c r="D37" s="147">
        <f>SUM('3.2.sz.melléklet'!E173+'3.2.sz.melléklet'!E191+'3.2.sz.melléklet'!E196+'3.2.sz.melléklet'!E216)</f>
        <v>16170</v>
      </c>
      <c r="E37" s="147">
        <f>SUM('3.2.sz.melléklet'!F173+'3.2.sz.melléklet'!F191+'3.2.sz.melléklet'!F196+'3.2.sz.melléklet'!F216)</f>
        <v>49543</v>
      </c>
      <c r="F37" s="147">
        <f>SUM('3.2.sz.melléklet'!G173+'3.2.sz.melléklet'!G191+'3.2.sz.melléklet'!G196)</f>
        <v>19917</v>
      </c>
      <c r="G37" s="147">
        <f t="shared" si="2"/>
        <v>40.201441172314958</v>
      </c>
      <c r="I37" s="1135"/>
      <c r="J37" s="1135"/>
    </row>
    <row r="38" spans="1:11" ht="15" customHeight="1" x14ac:dyDescent="0.2">
      <c r="A38" s="97"/>
      <c r="B38" s="109" t="s">
        <v>52</v>
      </c>
      <c r="C38" s="3" t="s">
        <v>53</v>
      </c>
      <c r="D38" s="142">
        <f>SUM('3.2.sz.melléklet'!E7+'3.2.sz.melléklet'!E174+'3.2.sz.melléklet'!E192+'3.2.sz.melléklet'!E197+'3.2.sz.melléklet'!E217)</f>
        <v>10003</v>
      </c>
      <c r="E38" s="142">
        <f>SUM('3.2.sz.melléklet'!F7+'3.2.sz.melléklet'!F174+'3.2.sz.melléklet'!F192+'3.2.sz.melléklet'!F197+'3.2.sz.melléklet'!F217)</f>
        <v>17364</v>
      </c>
      <c r="F38" s="147">
        <f>SUM('3.2.sz.melléklet'!G174+'3.2.sz.melléklet'!G192+'3.2.sz.melléklet'!G197+'3.2.sz.melléklet'!G7)</f>
        <v>8449</v>
      </c>
      <c r="G38" s="142">
        <f t="shared" si="2"/>
        <v>48.658143284957383</v>
      </c>
      <c r="I38" s="1135"/>
      <c r="J38" s="1135"/>
    </row>
    <row r="39" spans="1:11" ht="15" customHeight="1" x14ac:dyDescent="0.2">
      <c r="A39" s="97"/>
      <c r="B39" s="109" t="s">
        <v>54</v>
      </c>
      <c r="C39" s="3" t="s">
        <v>55</v>
      </c>
      <c r="D39" s="142">
        <f>SUM('3.2.sz.melléklet'!E15+'3.2.sz.melléklet'!E16+'3.2.sz.melléklet'!E19+'3.2.sz.melléklet'!E175+'3.2.sz.melléklet'!E184+'3.2.sz.melléklet'!E193+'3.2.sz.melléklet'!E198+'3.2.sz.melléklet'!E201+'3.2.sz.melléklet'!E203+'3.2.sz.melléklet'!E205+'3.2.sz.melléklet'!E214+'3.2.sz.melléklet'!E218+'3.2.sz.melléklet'!E18)</f>
        <v>553111</v>
      </c>
      <c r="E39" s="142">
        <f>SUM('3.2.sz.melléklet'!F15+'3.2.sz.melléklet'!F16+'3.2.sz.melléklet'!F19+'3.2.sz.melléklet'!F175+'3.2.sz.melléklet'!F184+'3.2.sz.melléklet'!F193+'3.2.sz.melléklet'!F198+'3.2.sz.melléklet'!F201+'3.2.sz.melléklet'!F203+'3.2.sz.melléklet'!F205+'3.2.sz.melléklet'!F214+'3.2.sz.melléklet'!F218+'3.2.sz.melléklet'!F18)</f>
        <v>755071</v>
      </c>
      <c r="F39" s="142">
        <v>522001</v>
      </c>
      <c r="G39" s="142">
        <f t="shared" si="2"/>
        <v>69.132704076835154</v>
      </c>
      <c r="I39" s="1135"/>
      <c r="J39" s="1135"/>
    </row>
    <row r="40" spans="1:11" ht="15" customHeight="1" x14ac:dyDescent="0.2">
      <c r="A40" s="97"/>
      <c r="B40" s="109" t="s">
        <v>56</v>
      </c>
      <c r="C40" s="3" t="s">
        <v>57</v>
      </c>
      <c r="D40" s="142">
        <f>SUM('3.2.sz.melléklet'!E116)</f>
        <v>17000</v>
      </c>
      <c r="E40" s="142">
        <f>SUM('3.2.sz.melléklet'!F116)</f>
        <v>17000</v>
      </c>
      <c r="F40" s="142"/>
      <c r="G40" s="142">
        <f t="shared" si="2"/>
        <v>0</v>
      </c>
      <c r="I40" s="1135"/>
      <c r="J40" s="1135"/>
    </row>
    <row r="41" spans="1:11" ht="15" customHeight="1" x14ac:dyDescent="0.2">
      <c r="A41" s="97"/>
      <c r="B41" s="109" t="s">
        <v>58</v>
      </c>
      <c r="C41" s="3" t="s">
        <v>59</v>
      </c>
      <c r="D41" s="142">
        <f>SUM(D42:D49)</f>
        <v>133646</v>
      </c>
      <c r="E41" s="142">
        <f>SUM(E42:E49)</f>
        <v>193789</v>
      </c>
      <c r="F41" s="142">
        <f>SUM(F42:F44)</f>
        <v>99285</v>
      </c>
      <c r="G41" s="142">
        <f t="shared" si="2"/>
        <v>51.233558148295309</v>
      </c>
      <c r="I41" s="1135"/>
      <c r="J41" s="1135"/>
    </row>
    <row r="42" spans="1:11" ht="15" customHeight="1" x14ac:dyDescent="0.2">
      <c r="A42" s="97"/>
      <c r="B42" s="109" t="s">
        <v>60</v>
      </c>
      <c r="C42" s="158" t="s">
        <v>1428</v>
      </c>
      <c r="D42" s="142"/>
      <c r="E42" s="142"/>
      <c r="F42" s="142">
        <f>SUM('3.2.sz.melléklet'!G30)</f>
        <v>99285</v>
      </c>
      <c r="G42" s="142"/>
      <c r="I42" s="1135"/>
      <c r="J42" s="1135"/>
    </row>
    <row r="43" spans="1:11" ht="15" customHeight="1" x14ac:dyDescent="0.2">
      <c r="A43" s="97"/>
      <c r="B43" s="109" t="s">
        <v>61</v>
      </c>
      <c r="C43" s="158" t="s">
        <v>1548</v>
      </c>
      <c r="D43" s="142"/>
      <c r="E43" s="142"/>
      <c r="F43" s="142"/>
      <c r="G43" s="142"/>
      <c r="I43" s="1135"/>
      <c r="J43" s="1135"/>
    </row>
    <row r="44" spans="1:11" ht="15" customHeight="1" thickBot="1" x14ac:dyDescent="0.25">
      <c r="A44" s="97"/>
      <c r="B44" s="109" t="s">
        <v>139</v>
      </c>
      <c r="C44" s="158" t="s">
        <v>87</v>
      </c>
      <c r="D44" s="142"/>
      <c r="E44" s="142"/>
      <c r="F44" s="142"/>
      <c r="G44" s="142"/>
      <c r="I44" s="1135"/>
      <c r="J44" s="1135"/>
    </row>
    <row r="45" spans="1:11" ht="15" hidden="1" customHeight="1" x14ac:dyDescent="0.2">
      <c r="A45" s="97"/>
      <c r="B45" s="109"/>
      <c r="C45" s="158"/>
      <c r="D45" s="142">
        <f>SUM('3.2.sz.melléklet'!E41)</f>
        <v>101646</v>
      </c>
      <c r="E45" s="142">
        <f>SUM('3.2.sz.melléklet'!F41)-'3.2.sz.melléklet'!F60-'3.2.sz.melléklet'!F61</f>
        <v>151236</v>
      </c>
      <c r="F45" s="142"/>
      <c r="G45" s="142">
        <f t="shared" ref="G45:G72" si="5">F45/E45*100</f>
        <v>0</v>
      </c>
      <c r="I45" s="1135"/>
      <c r="J45" s="1135"/>
    </row>
    <row r="46" spans="1:11" ht="15" hidden="1" customHeight="1" x14ac:dyDescent="0.2">
      <c r="A46" s="97"/>
      <c r="B46" s="109"/>
      <c r="C46" s="158"/>
      <c r="D46" s="142"/>
      <c r="E46" s="142">
        <f>'3.2.sz.melléklet'!F27+'3.2.sz.melléklet'!F60+'3.2.sz.melléklet'!F61</f>
        <v>10553</v>
      </c>
      <c r="F46" s="142"/>
      <c r="G46" s="142">
        <f t="shared" si="5"/>
        <v>0</v>
      </c>
      <c r="I46" s="1135"/>
      <c r="J46" s="1135"/>
    </row>
    <row r="47" spans="1:11" ht="15" hidden="1" customHeight="1" x14ac:dyDescent="0.2">
      <c r="A47" s="97"/>
      <c r="B47" s="109"/>
      <c r="C47" s="158"/>
      <c r="D47" s="142"/>
      <c r="E47" s="142"/>
      <c r="F47" s="142"/>
      <c r="G47" s="142"/>
      <c r="I47" s="1135"/>
      <c r="J47" s="1135"/>
    </row>
    <row r="48" spans="1:11" ht="15" hidden="1" customHeight="1" x14ac:dyDescent="0.2">
      <c r="A48" s="97"/>
      <c r="B48" s="109"/>
      <c r="C48" s="158"/>
      <c r="D48" s="142">
        <f>SUM('3.2.sz.melléklet'!E17)</f>
        <v>32000</v>
      </c>
      <c r="E48" s="142">
        <f>SUM('3.2.sz.melléklet'!F17)</f>
        <v>32000</v>
      </c>
      <c r="F48" s="142"/>
      <c r="G48" s="142"/>
      <c r="I48" s="1135"/>
      <c r="J48" s="1135"/>
    </row>
    <row r="49" spans="1:15" ht="15" hidden="1" customHeight="1" x14ac:dyDescent="0.2">
      <c r="A49" s="104"/>
      <c r="B49" s="109"/>
      <c r="C49" s="158"/>
      <c r="D49" s="145"/>
      <c r="E49" s="145"/>
      <c r="F49" s="145"/>
      <c r="G49" s="145"/>
      <c r="I49" s="1135"/>
      <c r="J49" s="1135"/>
    </row>
    <row r="50" spans="1:15" ht="15" hidden="1" customHeight="1" x14ac:dyDescent="0.2">
      <c r="A50" s="1258"/>
      <c r="B50" s="112"/>
      <c r="C50" s="129"/>
      <c r="D50" s="159">
        <f>SUM('3.2.sz.melléklet'!E124)</f>
        <v>143605</v>
      </c>
      <c r="E50" s="159">
        <f>'3.2.sz.melléklet'!F122</f>
        <v>13195</v>
      </c>
      <c r="F50" s="159"/>
      <c r="G50" s="159"/>
      <c r="I50" s="1135"/>
      <c r="J50" s="1135"/>
    </row>
    <row r="51" spans="1:15" ht="15" customHeight="1" thickBot="1" x14ac:dyDescent="0.25">
      <c r="A51" s="1256" t="s">
        <v>3</v>
      </c>
      <c r="B51" s="2"/>
      <c r="C51" s="10" t="s">
        <v>140</v>
      </c>
      <c r="D51" s="141">
        <f>SUM(D52:D54)</f>
        <v>222432</v>
      </c>
      <c r="E51" s="141">
        <f>SUM(E52:E54)</f>
        <v>696460</v>
      </c>
      <c r="F51" s="141">
        <f>SUM(F52:F54)</f>
        <v>0</v>
      </c>
      <c r="G51" s="141">
        <f t="shared" si="5"/>
        <v>0</v>
      </c>
      <c r="I51" s="1135"/>
      <c r="J51" s="1135"/>
    </row>
    <row r="52" spans="1:15" s="125" customFormat="1" ht="15" customHeight="1" x14ac:dyDescent="0.2">
      <c r="A52" s="113"/>
      <c r="B52" s="109" t="s">
        <v>141</v>
      </c>
      <c r="C52" s="3" t="s">
        <v>142</v>
      </c>
      <c r="D52" s="147">
        <f>SUM('3.2.sz.melléklet'!E140)</f>
        <v>91500</v>
      </c>
      <c r="E52" s="147">
        <f>SUM('3.2.sz.melléklet'!F140)</f>
        <v>595591</v>
      </c>
      <c r="F52" s="147"/>
      <c r="G52" s="147">
        <f t="shared" si="5"/>
        <v>0</v>
      </c>
      <c r="I52" s="1135"/>
      <c r="J52" s="1135"/>
    </row>
    <row r="53" spans="1:15" ht="15" customHeight="1" x14ac:dyDescent="0.2">
      <c r="A53" s="97"/>
      <c r="B53" s="109" t="s">
        <v>143</v>
      </c>
      <c r="C53" s="3" t="s">
        <v>64</v>
      </c>
      <c r="D53" s="142">
        <f>SUM('3.2.sz.melléklet'!E139)</f>
        <v>25000</v>
      </c>
      <c r="E53" s="142">
        <f>SUM('3.2.sz.melléklet'!F139)</f>
        <v>25000</v>
      </c>
      <c r="F53" s="142"/>
      <c r="G53" s="142">
        <f t="shared" si="5"/>
        <v>0</v>
      </c>
      <c r="I53" s="1135"/>
      <c r="J53" s="1135"/>
    </row>
    <row r="54" spans="1:15" ht="15" customHeight="1" x14ac:dyDescent="0.2">
      <c r="A54" s="97"/>
      <c r="B54" s="109" t="s">
        <v>144</v>
      </c>
      <c r="C54" s="3" t="s">
        <v>66</v>
      </c>
      <c r="D54" s="142">
        <f>SUM(D57+D56)</f>
        <v>105932</v>
      </c>
      <c r="E54" s="142">
        <f t="shared" ref="E54" si="6">SUM(E57+E56)</f>
        <v>75869</v>
      </c>
      <c r="F54" s="142"/>
      <c r="G54" s="142">
        <f t="shared" si="5"/>
        <v>0</v>
      </c>
      <c r="I54" s="1135"/>
      <c r="J54" s="1135"/>
    </row>
    <row r="55" spans="1:15" ht="15" customHeight="1" x14ac:dyDescent="0.2">
      <c r="A55" s="1294"/>
      <c r="B55" s="1295" t="s">
        <v>469</v>
      </c>
      <c r="C55" s="158" t="s">
        <v>1621</v>
      </c>
      <c r="D55" s="1296"/>
      <c r="E55" s="1296"/>
      <c r="F55" s="1296"/>
      <c r="G55" s="1296"/>
      <c r="I55" s="1135"/>
      <c r="J55" s="1135"/>
    </row>
    <row r="56" spans="1:15" ht="15" customHeight="1" x14ac:dyDescent="0.2">
      <c r="A56" s="97"/>
      <c r="B56" s="1295" t="s">
        <v>470</v>
      </c>
      <c r="C56" s="158" t="s">
        <v>62</v>
      </c>
      <c r="D56" s="142">
        <f>SUM('3.2.sz.melléklet'!E148+'3.2.sz.melléklet'!E149)</f>
        <v>54500</v>
      </c>
      <c r="E56" s="142">
        <f>SUM('3.2.sz.melléklet'!F148+'3.2.sz.melléklet'!F149)</f>
        <v>54500</v>
      </c>
      <c r="F56" s="142"/>
      <c r="G56" s="142">
        <f t="shared" si="5"/>
        <v>0</v>
      </c>
      <c r="I56" s="1135"/>
      <c r="J56" s="1135"/>
    </row>
    <row r="57" spans="1:15" s="125" customFormat="1" ht="15" customHeight="1" thickBot="1" x14ac:dyDescent="0.25">
      <c r="A57" s="97"/>
      <c r="B57" s="1295" t="s">
        <v>471</v>
      </c>
      <c r="C57" s="158" t="s">
        <v>87</v>
      </c>
      <c r="D57" s="142">
        <f>SUM(D58:D60)</f>
        <v>51432</v>
      </c>
      <c r="E57" s="142">
        <f t="shared" ref="E57" si="7">SUM(E58:E60)</f>
        <v>21369</v>
      </c>
      <c r="F57" s="142"/>
      <c r="G57" s="142">
        <f t="shared" si="5"/>
        <v>0</v>
      </c>
      <c r="I57" s="1135"/>
      <c r="J57" s="1135"/>
    </row>
    <row r="58" spans="1:15" ht="15" hidden="1" customHeight="1" x14ac:dyDescent="0.25">
      <c r="A58" s="97"/>
      <c r="B58" s="109"/>
      <c r="C58" s="160"/>
      <c r="D58" s="161">
        <f>SUM('3.2.sz.melléklet'!E144)</f>
        <v>51432</v>
      </c>
      <c r="E58" s="161">
        <f>SUM('3.2.sz.melléklet'!F144)</f>
        <v>21369</v>
      </c>
      <c r="F58" s="161"/>
      <c r="G58" s="161">
        <f t="shared" si="5"/>
        <v>0</v>
      </c>
      <c r="I58" s="1135"/>
      <c r="J58" s="1135"/>
      <c r="O58" s="127"/>
    </row>
    <row r="59" spans="1:15" ht="15" hidden="1" customHeight="1" x14ac:dyDescent="0.25">
      <c r="A59" s="97"/>
      <c r="B59" s="109"/>
      <c r="C59" s="160"/>
      <c r="D59" s="161"/>
      <c r="E59" s="161"/>
      <c r="F59" s="161"/>
      <c r="G59" s="161"/>
      <c r="I59" s="1135"/>
      <c r="J59" s="1135"/>
    </row>
    <row r="60" spans="1:15" ht="15" hidden="1" customHeight="1" x14ac:dyDescent="0.25">
      <c r="A60" s="104"/>
      <c r="B60" s="109"/>
      <c r="C60" s="162"/>
      <c r="D60" s="163"/>
      <c r="E60" s="163"/>
      <c r="F60" s="163">
        <f>'3.2.sz.melléklet'!G142</f>
        <v>0</v>
      </c>
      <c r="G60" s="163"/>
      <c r="I60" s="1135"/>
      <c r="J60" s="1135"/>
    </row>
    <row r="61" spans="1:15" ht="15" hidden="1" customHeight="1" x14ac:dyDescent="0.2">
      <c r="A61" s="1256"/>
      <c r="B61" s="2"/>
      <c r="C61" s="10"/>
      <c r="D61" s="119"/>
      <c r="E61" s="119">
        <f>'3.2.sz.melléklet'!F147</f>
        <v>6831</v>
      </c>
      <c r="F61" s="119"/>
      <c r="G61" s="119">
        <f t="shared" si="5"/>
        <v>0</v>
      </c>
      <c r="I61" s="1135"/>
      <c r="J61" s="1135"/>
    </row>
    <row r="62" spans="1:15" s="125" customFormat="1" ht="15" hidden="1" customHeight="1" x14ac:dyDescent="0.2">
      <c r="A62" s="1256"/>
      <c r="B62" s="2"/>
      <c r="C62" s="10"/>
      <c r="D62" s="141">
        <f>+D63+D65</f>
        <v>115000</v>
      </c>
      <c r="E62" s="141">
        <f t="shared" ref="E62:F62" si="8">+E63+E65</f>
        <v>258544</v>
      </c>
      <c r="F62" s="141">
        <f t="shared" si="8"/>
        <v>0</v>
      </c>
      <c r="G62" s="141">
        <f t="shared" si="5"/>
        <v>0</v>
      </c>
      <c r="I62" s="1135"/>
      <c r="J62" s="1135"/>
    </row>
    <row r="63" spans="1:15" s="125" customFormat="1" ht="15" hidden="1" customHeight="1" x14ac:dyDescent="0.2">
      <c r="A63" s="113"/>
      <c r="B63" s="124"/>
      <c r="C63" s="3"/>
      <c r="D63" s="147">
        <f>SUM('3.2.sz.melléklet'!E157)</f>
        <v>20000</v>
      </c>
      <c r="E63" s="147"/>
      <c r="F63" s="147">
        <f>SUM('3.2.sz.melléklet'!G157)</f>
        <v>0</v>
      </c>
      <c r="G63" s="147" t="e">
        <f t="shared" si="5"/>
        <v>#DIV/0!</v>
      </c>
      <c r="I63" s="1135"/>
      <c r="J63" s="1135"/>
    </row>
    <row r="64" spans="1:15" s="125" customFormat="1" ht="15" hidden="1" customHeight="1" x14ac:dyDescent="0.2">
      <c r="A64" s="100"/>
      <c r="B64" s="126"/>
      <c r="C64" s="3"/>
      <c r="D64" s="143"/>
      <c r="E64" s="147"/>
      <c r="F64" s="143"/>
      <c r="G64" s="143"/>
      <c r="I64" s="1135"/>
      <c r="J64" s="1135"/>
    </row>
    <row r="65" spans="1:10" s="125" customFormat="1" ht="15" hidden="1" customHeight="1" x14ac:dyDescent="0.2">
      <c r="A65" s="104"/>
      <c r="B65" s="118"/>
      <c r="C65" s="3"/>
      <c r="D65" s="145">
        <f>SUM('3.2.sz.melléklet'!E158)</f>
        <v>95000</v>
      </c>
      <c r="E65" s="145">
        <f>SUM('3.2.sz.melléklet'!F158)</f>
        <v>258544</v>
      </c>
      <c r="F65" s="145"/>
      <c r="G65" s="145">
        <f t="shared" si="5"/>
        <v>0</v>
      </c>
      <c r="I65" s="1135"/>
      <c r="J65" s="1135"/>
    </row>
    <row r="66" spans="1:10" s="125" customFormat="1" ht="15" hidden="1" customHeight="1" thickBot="1" x14ac:dyDescent="0.25">
      <c r="A66" s="1256"/>
      <c r="B66" s="130"/>
      <c r="C66" s="10"/>
      <c r="D66" s="119">
        <f>SUM('3.2.sz.melléklet'!E33)</f>
        <v>1251895</v>
      </c>
      <c r="E66" s="119" t="e">
        <f>SUM('3.2.sz.melléklet'!F33)</f>
        <v>#REF!</v>
      </c>
      <c r="F66" s="119"/>
      <c r="G66" s="119" t="e">
        <f t="shared" si="5"/>
        <v>#REF!</v>
      </c>
      <c r="I66" s="1135"/>
      <c r="J66" s="1135"/>
    </row>
    <row r="67" spans="1:10" s="125" customFormat="1" ht="15" customHeight="1" thickBot="1" x14ac:dyDescent="0.25">
      <c r="A67" s="1256"/>
      <c r="B67" s="2"/>
      <c r="C67" s="8"/>
      <c r="D67" s="164">
        <f>+D36+D51+D61+D62+D66</f>
        <v>2462862</v>
      </c>
      <c r="E67" s="164" t="e">
        <f>+E36+E51+E61+E62+E66</f>
        <v>#REF!</v>
      </c>
      <c r="F67" s="164"/>
      <c r="G67" s="164" t="e">
        <f t="shared" si="5"/>
        <v>#REF!</v>
      </c>
      <c r="I67" s="1135"/>
      <c r="J67" s="1135"/>
    </row>
    <row r="68" spans="1:10" s="125" customFormat="1" ht="15" customHeight="1" thickBot="1" x14ac:dyDescent="0.25">
      <c r="A68" s="1256" t="s">
        <v>12</v>
      </c>
      <c r="B68" s="2"/>
      <c r="C68" s="10" t="s">
        <v>1623</v>
      </c>
      <c r="D68" s="141">
        <f>+D69+D70</f>
        <v>64000</v>
      </c>
      <c r="E68" s="141">
        <f t="shared" ref="E68:F68" si="9">+E69+E70</f>
        <v>64000</v>
      </c>
      <c r="F68" s="141">
        <f t="shared" si="9"/>
        <v>1180437</v>
      </c>
      <c r="G68" s="141">
        <f t="shared" si="5"/>
        <v>1844.4328124999997</v>
      </c>
      <c r="I68" s="1135"/>
      <c r="J68" s="1135"/>
    </row>
    <row r="69" spans="1:10" ht="15" customHeight="1" x14ac:dyDescent="0.2">
      <c r="A69" s="113"/>
      <c r="B69" s="118" t="s">
        <v>720</v>
      </c>
      <c r="C69" s="3" t="s">
        <v>1622</v>
      </c>
      <c r="D69" s="147"/>
      <c r="E69" s="147"/>
      <c r="F69" s="147">
        <v>1180437</v>
      </c>
      <c r="G69" s="147"/>
      <c r="I69" s="1135"/>
      <c r="J69" s="1135"/>
    </row>
    <row r="70" spans="1:10" ht="15" customHeight="1" thickBot="1" x14ac:dyDescent="0.25">
      <c r="A70" s="104"/>
      <c r="B70" s="118" t="s">
        <v>538</v>
      </c>
      <c r="C70" s="3" t="s">
        <v>135</v>
      </c>
      <c r="D70" s="145">
        <f>SUM('3.2.sz.melléklet'!E162)</f>
        <v>64000</v>
      </c>
      <c r="E70" s="145">
        <f>SUM('3.2.sz.melléklet'!F162)</f>
        <v>64000</v>
      </c>
      <c r="F70" s="145"/>
      <c r="G70" s="145">
        <f t="shared" si="5"/>
        <v>0</v>
      </c>
      <c r="I70" s="1135"/>
      <c r="J70" s="1135"/>
    </row>
    <row r="71" spans="1:10" s="99" customFormat="1" ht="15" customHeight="1" thickBot="1" x14ac:dyDescent="0.25">
      <c r="A71" s="1256"/>
      <c r="B71" s="2"/>
      <c r="C71" s="10"/>
      <c r="D71" s="119"/>
      <c r="E71" s="119"/>
      <c r="F71" s="119">
        <f>'3.2.sz.melléklet'!G230</f>
        <v>0</v>
      </c>
      <c r="G71" s="119"/>
      <c r="I71" s="1135"/>
      <c r="J71" s="1135"/>
    </row>
    <row r="72" spans="1:10" ht="15" customHeight="1" thickBot="1" x14ac:dyDescent="0.25">
      <c r="A72" s="150"/>
      <c r="B72" s="151"/>
      <c r="C72" s="9" t="s">
        <v>984</v>
      </c>
      <c r="D72" s="152">
        <f>+D67+D68</f>
        <v>2526862</v>
      </c>
      <c r="E72" s="152" t="e">
        <f t="shared" ref="E72" si="10">+E67+E68</f>
        <v>#REF!</v>
      </c>
      <c r="F72" s="152">
        <f>SUM(F36+F51+F68)</f>
        <v>1830089</v>
      </c>
      <c r="G72" s="152" t="e">
        <f t="shared" si="5"/>
        <v>#REF!</v>
      </c>
      <c r="I72" s="1135"/>
      <c r="J72" s="1135"/>
    </row>
    <row r="73" spans="1:10" ht="21.75" hidden="1" customHeight="1" x14ac:dyDescent="0.2">
      <c r="A73" s="1297"/>
      <c r="B73" s="1298"/>
      <c r="C73" s="1300" t="s">
        <v>1624</v>
      </c>
      <c r="D73" s="1299"/>
      <c r="E73" s="1299"/>
      <c r="F73" s="1299">
        <f>SUM(F69)</f>
        <v>1180437</v>
      </c>
      <c r="G73" s="1299"/>
      <c r="I73" s="1135"/>
      <c r="J73" s="1135"/>
    </row>
    <row r="74" spans="1:10" ht="20.25" hidden="1" customHeight="1" thickBot="1" x14ac:dyDescent="0.25">
      <c r="A74" s="165"/>
      <c r="B74" s="166"/>
      <c r="C74" s="1302" t="s">
        <v>1625</v>
      </c>
      <c r="D74" s="132"/>
      <c r="E74" s="132"/>
      <c r="F74" s="1301">
        <f>SUM(F72-F73)</f>
        <v>649652</v>
      </c>
      <c r="G74" s="132"/>
      <c r="I74" s="1135"/>
      <c r="J74" s="1135"/>
    </row>
    <row r="75" spans="1:10" ht="20.25" customHeight="1" thickBot="1" x14ac:dyDescent="0.25">
      <c r="A75" s="1520" t="s">
        <v>136</v>
      </c>
      <c r="B75" s="1520"/>
      <c r="C75" s="1520"/>
      <c r="D75" s="136">
        <f>SUM('3.2.sz.melléklet'!E199+'3.2.sz.melléklet'!E182)</f>
        <v>9.5</v>
      </c>
      <c r="E75" s="136">
        <f>SUM('3.2.sz.melléklet'!F199+'3.2.sz.melléklet'!F182)</f>
        <v>9.5</v>
      </c>
      <c r="F75" s="136">
        <f>SUM('3.2.sz.melléklet'!G199+'3.2.sz.melléklet'!G182)</f>
        <v>11</v>
      </c>
      <c r="G75" s="136"/>
      <c r="I75" s="1135"/>
      <c r="J75" s="1136"/>
    </row>
    <row r="76" spans="1:10" ht="15" customHeight="1" thickBot="1" x14ac:dyDescent="0.25">
      <c r="A76" s="1520" t="s">
        <v>137</v>
      </c>
      <c r="B76" s="1520"/>
      <c r="C76" s="1520"/>
      <c r="D76" s="167">
        <v>13.5</v>
      </c>
      <c r="E76" s="167">
        <v>13.5</v>
      </c>
      <c r="F76" s="167">
        <f>SUM('3.2.sz.melléklet'!G194)</f>
        <v>43.5</v>
      </c>
      <c r="G76" s="167"/>
      <c r="I76" s="1135"/>
      <c r="J76" s="1136"/>
    </row>
    <row r="77" spans="1:10" ht="15" customHeight="1" x14ac:dyDescent="0.2"/>
    <row r="78" spans="1:10" ht="15" customHeight="1" x14ac:dyDescent="0.2"/>
    <row r="79" spans="1:10" ht="13.5" thickBot="1" x14ac:dyDescent="0.25"/>
    <row r="80" spans="1:10" ht="16.5" thickBot="1" x14ac:dyDescent="0.25">
      <c r="E80" s="152">
        <v>4969009</v>
      </c>
      <c r="F80" s="152">
        <v>4971068</v>
      </c>
    </row>
    <row r="83" spans="5:6" ht="15.75" x14ac:dyDescent="0.2">
      <c r="E83" s="971" t="e">
        <f>SUM(E80-E72)</f>
        <v>#REF!</v>
      </c>
      <c r="F83" s="971">
        <f>SUM(F80-F72)</f>
        <v>3140979</v>
      </c>
    </row>
  </sheetData>
  <sheetProtection selectLockedCells="1" selectUnlockedCells="1"/>
  <mergeCells count="8">
    <mergeCell ref="A75:C75"/>
    <mergeCell ref="A76:C76"/>
    <mergeCell ref="A1:B1"/>
    <mergeCell ref="D1:D2"/>
    <mergeCell ref="F1:F2"/>
    <mergeCell ref="A2:B2"/>
    <mergeCell ref="D3:F3"/>
    <mergeCell ref="A4:B4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51" orientation="portrait" r:id="rId1"/>
  <headerFooter alignWithMargins="0">
    <oddHeader>&amp;C&amp;"Times New Roman CE,Félkövér"&amp;14Vecsés Város Önkormányzat 2014. évi 
bevételei és kiadásai&amp;R&amp;"Times New Roman,Normál"&amp;11 &amp;12 3.a. sz. melléklet
Ezer Ft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D2" sqref="D2:F4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2.83203125" style="76" customWidth="1"/>
    <col min="4" max="4" width="20.5" style="76" customWidth="1"/>
    <col min="5" max="6" width="13.33203125" style="76" hidden="1" customWidth="1"/>
    <col min="7" max="7" width="9.5" style="76" hidden="1" customWidth="1"/>
    <col min="8" max="16384" width="9.33203125" style="76"/>
  </cols>
  <sheetData>
    <row r="1" spans="1:7" s="326" customFormat="1" ht="21" customHeight="1" x14ac:dyDescent="0.2">
      <c r="A1" s="382"/>
      <c r="B1" s="383"/>
      <c r="C1" s="384"/>
      <c r="D1" s="1552" t="s">
        <v>548</v>
      </c>
      <c r="E1" s="1552"/>
      <c r="F1" s="1552"/>
      <c r="G1" s="1552"/>
    </row>
    <row r="2" spans="1:7" s="79" customFormat="1" ht="29.25" customHeight="1" x14ac:dyDescent="0.2">
      <c r="A2" s="1558" t="s">
        <v>495</v>
      </c>
      <c r="B2" s="1558"/>
      <c r="C2" s="406" t="s">
        <v>546</v>
      </c>
      <c r="D2" s="1523" t="s">
        <v>1024</v>
      </c>
      <c r="E2" s="343"/>
      <c r="F2" s="343"/>
      <c r="G2" s="385"/>
    </row>
    <row r="3" spans="1:7" s="79" customFormat="1" ht="30" customHeight="1" x14ac:dyDescent="0.2">
      <c r="A3" s="1559" t="s">
        <v>122</v>
      </c>
      <c r="B3" s="1559"/>
      <c r="C3" s="407" t="s">
        <v>549</v>
      </c>
      <c r="D3" s="1524"/>
      <c r="E3" s="327"/>
      <c r="F3" s="327"/>
      <c r="G3" s="386"/>
    </row>
    <row r="4" spans="1:7" s="83" customFormat="1" ht="15" customHeight="1" x14ac:dyDescent="0.25">
      <c r="A4" s="344"/>
      <c r="B4" s="344"/>
      <c r="C4" s="344"/>
      <c r="D4" s="1527" t="s">
        <v>1025</v>
      </c>
      <c r="E4" s="1527"/>
      <c r="F4" s="1527"/>
      <c r="G4" s="345" t="s">
        <v>79</v>
      </c>
    </row>
    <row r="5" spans="1:7" ht="30.75" customHeight="1" x14ac:dyDescent="0.2">
      <c r="A5" s="1557" t="s">
        <v>124</v>
      </c>
      <c r="B5" s="1557"/>
      <c r="C5" s="346" t="s">
        <v>125</v>
      </c>
      <c r="D5" s="347" t="s">
        <v>126</v>
      </c>
      <c r="E5" s="347" t="s">
        <v>127</v>
      </c>
      <c r="F5" s="347" t="s">
        <v>550</v>
      </c>
      <c r="G5" s="347" t="s">
        <v>1</v>
      </c>
    </row>
    <row r="6" spans="1:7" s="89" customFormat="1" ht="15" customHeight="1" x14ac:dyDescent="0.2">
      <c r="A6" s="93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>SUM(E9:E16)</f>
        <v>0</v>
      </c>
      <c r="F8" s="141">
        <f>SUM(F9:F16)</f>
        <v>0</v>
      </c>
      <c r="G8" s="141"/>
    </row>
    <row r="9" spans="1:7" s="96" customFormat="1" ht="15" customHeight="1" x14ac:dyDescent="0.2">
      <c r="A9" s="102"/>
      <c r="B9" s="98" t="s">
        <v>50</v>
      </c>
      <c r="C9" s="4" t="s">
        <v>14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>
        <v>0</v>
      </c>
      <c r="E14" s="143">
        <v>0</v>
      </c>
      <c r="F14" s="143">
        <v>0</v>
      </c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>
        <v>0</v>
      </c>
      <c r="E15" s="142">
        <v>0</v>
      </c>
      <c r="F15" s="142">
        <v>0</v>
      </c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>
        <v>0</v>
      </c>
      <c r="E16" s="145"/>
      <c r="F16" s="145"/>
      <c r="G16" s="145"/>
    </row>
    <row r="17" spans="1:9" s="96" customFormat="1" ht="15" customHeight="1" x14ac:dyDescent="0.2">
      <c r="A17" s="93" t="s">
        <v>3</v>
      </c>
      <c r="B17" s="94"/>
      <c r="C17" s="95" t="s">
        <v>498</v>
      </c>
      <c r="D17" s="141">
        <f>SUM(D18:D21)</f>
        <v>0</v>
      </c>
      <c r="E17" s="141">
        <f>SUM(E18:E21)</f>
        <v>0</v>
      </c>
      <c r="F17" s="141">
        <f>SUM(F18:F21)</f>
        <v>0</v>
      </c>
      <c r="G17" s="141" t="e">
        <f>F17/E17*100</f>
        <v>#DIV/0!</v>
      </c>
    </row>
    <row r="18" spans="1:9" s="99" customFormat="1" ht="15" customHeight="1" x14ac:dyDescent="0.2">
      <c r="A18" s="97"/>
      <c r="B18" s="98" t="s">
        <v>4</v>
      </c>
      <c r="C18" s="7" t="s">
        <v>499</v>
      </c>
      <c r="D18" s="142"/>
      <c r="E18" s="142"/>
      <c r="F18" s="142"/>
      <c r="G18" s="142" t="e">
        <f>F18/E18*100</f>
        <v>#DIV/0!</v>
      </c>
    </row>
    <row r="19" spans="1:9" s="99" customFormat="1" ht="15" customHeight="1" x14ac:dyDescent="0.2">
      <c r="A19" s="97"/>
      <c r="B19" s="98" t="s">
        <v>6</v>
      </c>
      <c r="C19" s="3" t="s">
        <v>500</v>
      </c>
      <c r="D19" s="142"/>
      <c r="E19" s="142"/>
      <c r="F19" s="142"/>
      <c r="G19" s="142"/>
    </row>
    <row r="20" spans="1:9" s="99" customFormat="1" ht="15" customHeight="1" x14ac:dyDescent="0.2">
      <c r="A20" s="97"/>
      <c r="B20" s="98" t="s">
        <v>7</v>
      </c>
      <c r="C20" s="3" t="s">
        <v>501</v>
      </c>
      <c r="D20" s="142"/>
      <c r="E20" s="142"/>
      <c r="F20" s="142"/>
      <c r="G20" s="142"/>
    </row>
    <row r="21" spans="1:9" s="99" customFormat="1" ht="15" customHeight="1" x14ac:dyDescent="0.2">
      <c r="A21" s="97"/>
      <c r="B21" s="98" t="s">
        <v>8</v>
      </c>
      <c r="C21" s="3" t="s">
        <v>502</v>
      </c>
      <c r="D21" s="142"/>
      <c r="E21" s="142"/>
      <c r="F21" s="142"/>
      <c r="G21" s="142"/>
    </row>
    <row r="22" spans="1:9" s="99" customFormat="1" ht="15" customHeight="1" x14ac:dyDescent="0.2">
      <c r="A22" s="93" t="s">
        <v>12</v>
      </c>
      <c r="B22" s="2"/>
      <c r="C22" s="2" t="s">
        <v>503</v>
      </c>
      <c r="D22" s="119">
        <v>0</v>
      </c>
      <c r="E22" s="119">
        <v>0</v>
      </c>
      <c r="F22" s="119">
        <v>0</v>
      </c>
      <c r="G22" s="119"/>
    </row>
    <row r="23" spans="1:9" s="96" customFormat="1" ht="15" customHeight="1" x14ac:dyDescent="0.2">
      <c r="A23" s="93" t="s">
        <v>68</v>
      </c>
      <c r="B23" s="94"/>
      <c r="C23" s="2" t="s">
        <v>539</v>
      </c>
      <c r="D23" s="119">
        <v>0</v>
      </c>
      <c r="E23" s="119">
        <v>0</v>
      </c>
      <c r="F23" s="119">
        <v>0</v>
      </c>
      <c r="G23" s="119"/>
    </row>
    <row r="24" spans="1:9" s="96" customFormat="1" ht="15" customHeight="1" x14ac:dyDescent="0.2">
      <c r="A24" s="93" t="s">
        <v>27</v>
      </c>
      <c r="B24" s="115"/>
      <c r="C24" s="2" t="s">
        <v>540</v>
      </c>
      <c r="D24" s="148">
        <f>+D25+D26</f>
        <v>0</v>
      </c>
      <c r="E24" s="148">
        <f>+E25+E26</f>
        <v>0</v>
      </c>
      <c r="F24" s="148">
        <f>+F25+F26</f>
        <v>0</v>
      </c>
      <c r="G24" s="148"/>
    </row>
    <row r="25" spans="1:9" s="96" customFormat="1" ht="15" customHeight="1" x14ac:dyDescent="0.2">
      <c r="A25" s="102"/>
      <c r="B25" s="108" t="s">
        <v>28</v>
      </c>
      <c r="C25" s="4" t="s">
        <v>507</v>
      </c>
      <c r="D25" s="149">
        <v>0</v>
      </c>
      <c r="E25" s="149">
        <v>0</v>
      </c>
      <c r="F25" s="149">
        <v>0</v>
      </c>
      <c r="G25" s="149"/>
    </row>
    <row r="26" spans="1:9" s="96" customFormat="1" ht="15" customHeight="1" x14ac:dyDescent="0.2">
      <c r="A26" s="111"/>
      <c r="B26" s="112" t="s">
        <v>29</v>
      </c>
      <c r="C26" s="6" t="s">
        <v>508</v>
      </c>
      <c r="D26" s="146">
        <v>0</v>
      </c>
      <c r="E26" s="146">
        <v>0</v>
      </c>
      <c r="F26" s="146">
        <v>0</v>
      </c>
      <c r="G26" s="146"/>
    </row>
    <row r="27" spans="1:9" s="99" customFormat="1" ht="15" customHeight="1" x14ac:dyDescent="0.25">
      <c r="A27" s="116" t="s">
        <v>32</v>
      </c>
      <c r="B27" s="117"/>
      <c r="C27" s="2" t="s">
        <v>541</v>
      </c>
      <c r="D27" s="119"/>
      <c r="E27" s="119"/>
      <c r="F27" s="119"/>
      <c r="G27" s="119" t="e">
        <f>F27/E27*100</f>
        <v>#DIV/0!</v>
      </c>
    </row>
    <row r="28" spans="1:9" s="99" customFormat="1" ht="15" customHeight="1" x14ac:dyDescent="0.25">
      <c r="A28" s="116"/>
      <c r="B28" s="117"/>
      <c r="C28" s="2" t="s">
        <v>542</v>
      </c>
      <c r="D28" s="119"/>
      <c r="E28" s="119"/>
      <c r="F28" s="119"/>
      <c r="G28" s="119"/>
    </row>
    <row r="29" spans="1:9" s="99" customFormat="1" ht="15" customHeight="1" x14ac:dyDescent="0.2">
      <c r="A29" s="150" t="s">
        <v>74</v>
      </c>
      <c r="B29" s="151"/>
      <c r="C29" s="354" t="s">
        <v>543</v>
      </c>
      <c r="D29" s="152">
        <f>SUM(D8,D17,D22,D23,D24,D27)</f>
        <v>0</v>
      </c>
      <c r="E29" s="152">
        <f>SUM(E8,E17,E22,E23,E24,E27,E28)</f>
        <v>0</v>
      </c>
      <c r="F29" s="152">
        <f>SUM(F8,F17,F22,F23,F24,F27,F28)</f>
        <v>0</v>
      </c>
      <c r="G29" s="152" t="e">
        <f>F29/E29*100</f>
        <v>#DIV/0!</v>
      </c>
      <c r="I29" s="110"/>
    </row>
    <row r="30" spans="1:9" s="99" customFormat="1" ht="15" customHeight="1" x14ac:dyDescent="0.2">
      <c r="A30" s="336"/>
      <c r="B30" s="336"/>
      <c r="C30" s="355"/>
      <c r="D30" s="155"/>
      <c r="E30" s="155"/>
      <c r="F30" s="155"/>
      <c r="G30" s="155"/>
    </row>
    <row r="31" spans="1:9" s="89" customFormat="1" ht="15" customHeight="1" x14ac:dyDescent="0.2">
      <c r="A31" s="150"/>
      <c r="B31" s="151"/>
      <c r="C31" s="387" t="s">
        <v>82</v>
      </c>
      <c r="D31" s="152"/>
      <c r="E31" s="152"/>
      <c r="F31" s="152"/>
      <c r="G31" s="152"/>
    </row>
    <row r="32" spans="1:9" s="125" customFormat="1" ht="15" customHeight="1" x14ac:dyDescent="0.2">
      <c r="A32" s="93" t="s">
        <v>2</v>
      </c>
      <c r="B32" s="2"/>
      <c r="C32" s="10" t="s">
        <v>49</v>
      </c>
      <c r="D32" s="141">
        <f>SUM(D33:D37)</f>
        <v>0</v>
      </c>
      <c r="E32" s="141">
        <f>SUM(E33:E37)</f>
        <v>0</v>
      </c>
      <c r="F32" s="141">
        <f>SUM(F33:F37)</f>
        <v>0</v>
      </c>
      <c r="G32" s="141" t="e">
        <f>F32/E32*100</f>
        <v>#DIV/0!</v>
      </c>
    </row>
    <row r="33" spans="1:7" ht="15" customHeight="1" x14ac:dyDescent="0.2">
      <c r="A33" s="113"/>
      <c r="B33" s="124" t="s">
        <v>50</v>
      </c>
      <c r="C33" s="7" t="s">
        <v>51</v>
      </c>
      <c r="D33" s="147"/>
      <c r="E33" s="147"/>
      <c r="F33" s="147"/>
      <c r="G33" s="147" t="e">
        <f>F33/E33*100</f>
        <v>#DIV/0!</v>
      </c>
    </row>
    <row r="34" spans="1:7" ht="15" customHeight="1" x14ac:dyDescent="0.2">
      <c r="A34" s="97"/>
      <c r="B34" s="109" t="s">
        <v>52</v>
      </c>
      <c r="C34" s="3" t="s">
        <v>53</v>
      </c>
      <c r="D34" s="142"/>
      <c r="E34" s="142"/>
      <c r="F34" s="142"/>
      <c r="G34" s="142" t="e">
        <f>F34/E34*100</f>
        <v>#DIV/0!</v>
      </c>
    </row>
    <row r="35" spans="1:7" ht="15" customHeight="1" x14ac:dyDescent="0.2">
      <c r="A35" s="97"/>
      <c r="B35" s="109" t="s">
        <v>54</v>
      </c>
      <c r="C35" s="3" t="s">
        <v>55</v>
      </c>
      <c r="D35" s="142"/>
      <c r="E35" s="142"/>
      <c r="F35" s="142"/>
      <c r="G35" s="142" t="e">
        <f>F35/E35*100</f>
        <v>#DIV/0!</v>
      </c>
    </row>
    <row r="36" spans="1:7" ht="15" customHeight="1" x14ac:dyDescent="0.2">
      <c r="A36" s="97"/>
      <c r="B36" s="109" t="s">
        <v>56</v>
      </c>
      <c r="C36" s="3" t="s">
        <v>57</v>
      </c>
      <c r="D36" s="142">
        <v>0</v>
      </c>
      <c r="E36" s="142">
        <v>0</v>
      </c>
      <c r="F36" s="142">
        <v>0</v>
      </c>
      <c r="G36" s="142"/>
    </row>
    <row r="37" spans="1:7" ht="15" customHeight="1" x14ac:dyDescent="0.2">
      <c r="A37" s="97"/>
      <c r="B37" s="109" t="s">
        <v>58</v>
      </c>
      <c r="C37" s="3" t="s">
        <v>59</v>
      </c>
      <c r="D37" s="142">
        <v>0</v>
      </c>
      <c r="E37" s="142">
        <v>0</v>
      </c>
      <c r="F37" s="142">
        <v>0</v>
      </c>
      <c r="G37" s="142"/>
    </row>
    <row r="38" spans="1:7" ht="15" customHeight="1" x14ac:dyDescent="0.2">
      <c r="A38" s="93" t="s">
        <v>3</v>
      </c>
      <c r="B38" s="2"/>
      <c r="C38" s="10" t="s">
        <v>519</v>
      </c>
      <c r="D38" s="141">
        <f>SUM(D39:D42)</f>
        <v>0</v>
      </c>
      <c r="E38" s="141">
        <f>SUM(E39:E42)</f>
        <v>0</v>
      </c>
      <c r="F38" s="141">
        <f>SUM(F39:F42)</f>
        <v>0</v>
      </c>
      <c r="G38" s="141" t="e">
        <f>F38/E38*100</f>
        <v>#DIV/0!</v>
      </c>
    </row>
    <row r="39" spans="1:7" s="125" customFormat="1" ht="15" customHeight="1" x14ac:dyDescent="0.2">
      <c r="A39" s="113"/>
      <c r="B39" s="124" t="s">
        <v>4</v>
      </c>
      <c r="C39" s="7" t="s">
        <v>512</v>
      </c>
      <c r="D39" s="147">
        <v>0</v>
      </c>
      <c r="E39" s="147"/>
      <c r="F39" s="147"/>
      <c r="G39" s="147" t="e">
        <f>F39/E39*100</f>
        <v>#DIV/0!</v>
      </c>
    </row>
    <row r="40" spans="1:7" ht="15" customHeight="1" x14ac:dyDescent="0.2">
      <c r="A40" s="97"/>
      <c r="B40" s="109" t="s">
        <v>6</v>
      </c>
      <c r="C40" s="3" t="s">
        <v>64</v>
      </c>
      <c r="D40" s="142">
        <v>0</v>
      </c>
      <c r="E40" s="142">
        <v>0</v>
      </c>
      <c r="F40" s="142">
        <v>0</v>
      </c>
      <c r="G40" s="142"/>
    </row>
    <row r="41" spans="1:7" ht="30" customHeight="1" x14ac:dyDescent="0.2">
      <c r="A41" s="97"/>
      <c r="B41" s="109" t="s">
        <v>9</v>
      </c>
      <c r="C41" s="3" t="s">
        <v>65</v>
      </c>
      <c r="D41" s="142">
        <v>0</v>
      </c>
      <c r="E41" s="142">
        <v>0</v>
      </c>
      <c r="F41" s="142">
        <v>0</v>
      </c>
      <c r="G41" s="142"/>
    </row>
    <row r="42" spans="1:7" ht="15" customHeight="1" x14ac:dyDescent="0.2">
      <c r="A42" s="97"/>
      <c r="B42" s="109" t="s">
        <v>11</v>
      </c>
      <c r="C42" s="3" t="s">
        <v>513</v>
      </c>
      <c r="D42" s="142">
        <v>0</v>
      </c>
      <c r="E42" s="142">
        <v>0</v>
      </c>
      <c r="F42" s="142">
        <v>0</v>
      </c>
      <c r="G42" s="142"/>
    </row>
    <row r="43" spans="1:7" ht="15" customHeight="1" x14ac:dyDescent="0.2">
      <c r="A43" s="93" t="s">
        <v>12</v>
      </c>
      <c r="B43" s="2"/>
      <c r="C43" s="10" t="s">
        <v>514</v>
      </c>
      <c r="D43" s="119">
        <v>0</v>
      </c>
      <c r="E43" s="119">
        <v>0</v>
      </c>
      <c r="F43" s="119">
        <v>0</v>
      </c>
      <c r="G43" s="119"/>
    </row>
    <row r="44" spans="1:7" s="99" customFormat="1" ht="15" customHeight="1" x14ac:dyDescent="0.2">
      <c r="A44" s="93"/>
      <c r="B44" s="2"/>
      <c r="C44" s="10" t="s">
        <v>515</v>
      </c>
      <c r="D44" s="119"/>
      <c r="E44" s="119"/>
      <c r="F44" s="119"/>
      <c r="G44" s="119"/>
    </row>
    <row r="45" spans="1:7" ht="15" customHeight="1" x14ac:dyDescent="0.2">
      <c r="A45" s="150" t="s">
        <v>68</v>
      </c>
      <c r="B45" s="151"/>
      <c r="C45" s="354" t="s">
        <v>516</v>
      </c>
      <c r="D45" s="152">
        <f>+D32+D38+D43</f>
        <v>0</v>
      </c>
      <c r="E45" s="152">
        <f>+E32+E38+E43+E44</f>
        <v>0</v>
      </c>
      <c r="F45" s="152">
        <f>+F32+F38+F43+F44</f>
        <v>0</v>
      </c>
      <c r="G45" s="152" t="e">
        <f>F45/E45*100</f>
        <v>#DIV/0!</v>
      </c>
    </row>
    <row r="46" spans="1:7" ht="15" customHeight="1" x14ac:dyDescent="0.2">
      <c r="A46" s="131"/>
      <c r="B46" s="132"/>
      <c r="C46" s="132"/>
      <c r="D46" s="132"/>
      <c r="E46" s="132"/>
      <c r="F46" s="132"/>
      <c r="G46" s="132"/>
    </row>
    <row r="47" spans="1:7" ht="15" customHeight="1" x14ac:dyDescent="0.2">
      <c r="A47" s="133" t="s">
        <v>136</v>
      </c>
      <c r="B47" s="134"/>
      <c r="C47" s="135"/>
      <c r="D47" s="356"/>
      <c r="E47" s="356"/>
      <c r="F47" s="356"/>
      <c r="G47" s="356"/>
    </row>
    <row r="48" spans="1:7" ht="15" customHeight="1" x14ac:dyDescent="0.2">
      <c r="A48" s="133" t="s">
        <v>137</v>
      </c>
      <c r="B48" s="134"/>
      <c r="C48" s="135"/>
      <c r="D48" s="356"/>
      <c r="E48" s="356"/>
      <c r="F48" s="356"/>
      <c r="G48" s="356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78740157480314965" right="0.78740157480314965" top="0.47244094488188981" bottom="0.43307086614173229" header="0.51181102362204722" footer="0.15748031496062992"/>
  <pageSetup paperSize="9" scale="74" firstPageNumber="43" orientation="portrait" useFirstPageNumber="1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topLeftCell="A16" zoomScaleNormal="130" workbookViewId="0">
      <selection activeCell="D39" sqref="D39"/>
    </sheetView>
  </sheetViews>
  <sheetFormatPr defaultRowHeight="12.75" x14ac:dyDescent="0.2"/>
  <cols>
    <col min="1" max="1" width="6.83203125" style="75" customWidth="1"/>
    <col min="2" max="2" width="9.6640625" style="76" customWidth="1"/>
    <col min="3" max="3" width="61.5" style="76" customWidth="1"/>
    <col min="4" max="4" width="19.1640625" style="76" customWidth="1"/>
    <col min="5" max="6" width="15.83203125" style="76" hidden="1" customWidth="1"/>
    <col min="7" max="7" width="9" style="76" hidden="1" customWidth="1"/>
    <col min="8" max="11" width="0" style="76" hidden="1" customWidth="1"/>
    <col min="12" max="16384" width="9.33203125" style="76"/>
  </cols>
  <sheetData>
    <row r="1" spans="1:7" s="326" customFormat="1" ht="15.75" customHeight="1" x14ac:dyDescent="0.2">
      <c r="A1" s="323"/>
      <c r="B1" s="324"/>
      <c r="C1" s="325"/>
      <c r="D1" s="1552" t="s">
        <v>551</v>
      </c>
      <c r="E1" s="1552"/>
      <c r="F1" s="1552"/>
      <c r="G1" s="1552"/>
    </row>
    <row r="2" spans="1:7" s="79" customFormat="1" ht="30.75" customHeight="1" x14ac:dyDescent="0.2">
      <c r="A2" s="1554" t="s">
        <v>495</v>
      </c>
      <c r="B2" s="1554"/>
      <c r="C2" s="408" t="s">
        <v>552</v>
      </c>
      <c r="D2" s="1523" t="s">
        <v>1024</v>
      </c>
      <c r="E2" s="343"/>
      <c r="F2" s="343"/>
      <c r="G2" s="343"/>
    </row>
    <row r="3" spans="1:7" s="79" customFormat="1" ht="30" customHeight="1" x14ac:dyDescent="0.2">
      <c r="A3" s="1554" t="s">
        <v>122</v>
      </c>
      <c r="B3" s="1554"/>
      <c r="C3" s="80" t="s">
        <v>547</v>
      </c>
      <c r="D3" s="1524"/>
      <c r="E3" s="327"/>
      <c r="F3" s="327"/>
      <c r="G3" s="327"/>
    </row>
    <row r="4" spans="1:7" s="83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ht="33.7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3.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>SUM(E9:E16)</f>
        <v>0</v>
      </c>
      <c r="F8" s="141">
        <f>SUM(F9:F16)</f>
        <v>0</v>
      </c>
      <c r="G8" s="141" t="e">
        <f>F8/E8*100</f>
        <v>#DIV/0!</v>
      </c>
    </row>
    <row r="9" spans="1:7" s="96" customFormat="1" ht="15" customHeight="1" x14ac:dyDescent="0.2">
      <c r="A9" s="102"/>
      <c r="B9" s="98" t="s">
        <v>50</v>
      </c>
      <c r="C9" s="4" t="s">
        <v>14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/>
      <c r="E11" s="142"/>
      <c r="F11" s="142"/>
      <c r="G11" s="142" t="e">
        <f>F11/E11*100</f>
        <v>#DIV/0!</v>
      </c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/>
      <c r="E15" s="142"/>
      <c r="F15" s="142"/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>
        <v>0</v>
      </c>
      <c r="E16" s="145">
        <v>0</v>
      </c>
      <c r="F16" s="145"/>
      <c r="G16" s="145"/>
    </row>
    <row r="17" spans="1:13" s="96" customFormat="1" ht="15" customHeight="1" x14ac:dyDescent="0.2">
      <c r="A17" s="93" t="s">
        <v>3</v>
      </c>
      <c r="B17" s="94"/>
      <c r="C17" s="95" t="s">
        <v>498</v>
      </c>
      <c r="D17" s="141">
        <f>SUM(D18:D23)-D19</f>
        <v>0</v>
      </c>
      <c r="E17" s="141">
        <f>SUM(E18:E23)-E19</f>
        <v>0</v>
      </c>
      <c r="F17" s="141">
        <f>SUM(F18:F23)-F19</f>
        <v>0</v>
      </c>
      <c r="G17" s="141" t="e">
        <f>F17/E17*100</f>
        <v>#DIV/0!</v>
      </c>
    </row>
    <row r="18" spans="1:13" s="99" customFormat="1" ht="15" customHeight="1" x14ac:dyDescent="0.2">
      <c r="A18" s="97"/>
      <c r="B18" s="98" t="s">
        <v>4</v>
      </c>
      <c r="C18" s="7" t="s">
        <v>499</v>
      </c>
      <c r="D18" s="142"/>
      <c r="E18" s="142"/>
      <c r="F18" s="142"/>
      <c r="G18" s="142" t="e">
        <f>F18/E18*100</f>
        <v>#DIV/0!</v>
      </c>
      <c r="L18" s="110"/>
      <c r="M18" s="110"/>
    </row>
    <row r="19" spans="1:13" s="99" customFormat="1" ht="15" customHeight="1" x14ac:dyDescent="0.2">
      <c r="A19" s="97"/>
      <c r="B19" s="98"/>
      <c r="C19" s="400" t="s">
        <v>535</v>
      </c>
      <c r="D19" s="142"/>
      <c r="E19" s="142"/>
      <c r="F19" s="142"/>
      <c r="G19" s="142" t="e">
        <f>F19/E19*100</f>
        <v>#DIV/0!</v>
      </c>
    </row>
    <row r="20" spans="1:13" s="99" customFormat="1" ht="15" customHeight="1" x14ac:dyDescent="0.2">
      <c r="A20" s="97"/>
      <c r="B20" s="98" t="s">
        <v>4</v>
      </c>
      <c r="C20" s="7" t="s">
        <v>985</v>
      </c>
      <c r="D20" s="142"/>
      <c r="E20" s="142"/>
      <c r="F20" s="142"/>
      <c r="G20" s="142" t="e">
        <f>F20/E20*100</f>
        <v>#DIV/0!</v>
      </c>
      <c r="H20" s="404">
        <f>E20+'..'!E20</f>
        <v>0</v>
      </c>
      <c r="I20" s="404">
        <f>F20+'..'!F20</f>
        <v>0</v>
      </c>
      <c r="J20" s="110">
        <f>H20+H31</f>
        <v>0</v>
      </c>
      <c r="K20" s="110">
        <f>I20+I31</f>
        <v>0</v>
      </c>
    </row>
    <row r="21" spans="1:13" s="99" customFormat="1" ht="15" customHeight="1" x14ac:dyDescent="0.2">
      <c r="A21" s="97"/>
      <c r="B21" s="98" t="s">
        <v>6</v>
      </c>
      <c r="C21" s="3" t="s">
        <v>500</v>
      </c>
      <c r="D21" s="142">
        <v>0</v>
      </c>
      <c r="E21" s="142">
        <v>0</v>
      </c>
      <c r="F21" s="142">
        <v>0</v>
      </c>
      <c r="G21" s="142"/>
    </row>
    <row r="22" spans="1:13" s="99" customFormat="1" ht="15" customHeight="1" x14ac:dyDescent="0.2">
      <c r="A22" s="97"/>
      <c r="B22" s="98" t="s">
        <v>7</v>
      </c>
      <c r="C22" s="3" t="s">
        <v>501</v>
      </c>
      <c r="D22" s="142">
        <v>0</v>
      </c>
      <c r="E22" s="142">
        <v>0</v>
      </c>
      <c r="F22" s="142">
        <v>0</v>
      </c>
      <c r="G22" s="142"/>
    </row>
    <row r="23" spans="1:13" s="99" customFormat="1" ht="15" customHeight="1" x14ac:dyDescent="0.2">
      <c r="A23" s="97"/>
      <c r="B23" s="98" t="s">
        <v>8</v>
      </c>
      <c r="C23" s="3" t="s">
        <v>502</v>
      </c>
      <c r="D23" s="142">
        <v>0</v>
      </c>
      <c r="E23" s="142"/>
      <c r="F23" s="142"/>
      <c r="G23" s="142" t="e">
        <f>F23/E23*100</f>
        <v>#DIV/0!</v>
      </c>
    </row>
    <row r="24" spans="1:13" s="99" customFormat="1" ht="15" customHeight="1" x14ac:dyDescent="0.2">
      <c r="A24" s="93" t="s">
        <v>12</v>
      </c>
      <c r="B24" s="2"/>
      <c r="C24" s="2" t="s">
        <v>503</v>
      </c>
      <c r="D24" s="119">
        <v>0</v>
      </c>
      <c r="E24" s="119">
        <v>0</v>
      </c>
      <c r="F24" s="119">
        <v>0</v>
      </c>
      <c r="G24" s="119"/>
    </row>
    <row r="25" spans="1:13" s="96" customFormat="1" ht="15" customHeight="1" x14ac:dyDescent="0.2">
      <c r="A25" s="93" t="s">
        <v>68</v>
      </c>
      <c r="B25" s="94"/>
      <c r="C25" s="2" t="s">
        <v>539</v>
      </c>
      <c r="D25" s="119">
        <v>0</v>
      </c>
      <c r="E25" s="119">
        <v>0</v>
      </c>
      <c r="F25" s="119">
        <v>0</v>
      </c>
      <c r="G25" s="119"/>
    </row>
    <row r="26" spans="1:13" s="96" customFormat="1" ht="15" customHeight="1" x14ac:dyDescent="0.2">
      <c r="A26" s="93" t="s">
        <v>27</v>
      </c>
      <c r="B26" s="115"/>
      <c r="C26" s="2" t="s">
        <v>540</v>
      </c>
      <c r="D26" s="148">
        <f>+D27+D28</f>
        <v>0</v>
      </c>
      <c r="E26" s="148">
        <f>+E27+E28</f>
        <v>0</v>
      </c>
      <c r="F26" s="148">
        <f>+F27+F28</f>
        <v>0</v>
      </c>
      <c r="G26" s="148"/>
    </row>
    <row r="27" spans="1:13" s="96" customFormat="1" ht="15" customHeight="1" x14ac:dyDescent="0.2">
      <c r="A27" s="102"/>
      <c r="B27" s="108" t="s">
        <v>28</v>
      </c>
      <c r="C27" s="4" t="s">
        <v>507</v>
      </c>
      <c r="D27" s="149">
        <v>0</v>
      </c>
      <c r="E27" s="149">
        <v>0</v>
      </c>
      <c r="F27" s="149">
        <v>0</v>
      </c>
      <c r="G27" s="149"/>
    </row>
    <row r="28" spans="1:13" s="96" customFormat="1" ht="15" customHeight="1" x14ac:dyDescent="0.2">
      <c r="A28" s="111"/>
      <c r="B28" s="112" t="s">
        <v>29</v>
      </c>
      <c r="C28" s="6" t="s">
        <v>508</v>
      </c>
      <c r="D28" s="146">
        <v>0</v>
      </c>
      <c r="E28" s="146">
        <v>0</v>
      </c>
      <c r="F28" s="146">
        <v>0</v>
      </c>
      <c r="G28" s="146"/>
    </row>
    <row r="29" spans="1:13" s="99" customFormat="1" ht="15" customHeight="1" x14ac:dyDescent="0.25">
      <c r="A29" s="116" t="s">
        <v>32</v>
      </c>
      <c r="B29" s="117"/>
      <c r="C29" s="2" t="s">
        <v>541</v>
      </c>
      <c r="D29" s="119"/>
      <c r="E29" s="119"/>
      <c r="F29" s="119"/>
      <c r="G29" s="119" t="e">
        <f>F29/E29*100</f>
        <v>#DIV/0!</v>
      </c>
      <c r="M29" s="110">
        <f>SUM(D34-D31)</f>
        <v>0</v>
      </c>
    </row>
    <row r="30" spans="1:13" s="99" customFormat="1" ht="15" customHeight="1" x14ac:dyDescent="0.25">
      <c r="A30" s="116"/>
      <c r="B30" s="117"/>
      <c r="C30" s="2" t="s">
        <v>542</v>
      </c>
      <c r="D30" s="119"/>
      <c r="E30" s="119"/>
      <c r="F30" s="119"/>
      <c r="G30" s="119"/>
    </row>
    <row r="31" spans="1:13" s="99" customFormat="1" ht="15" customHeight="1" x14ac:dyDescent="0.2">
      <c r="A31" s="150" t="s">
        <v>74</v>
      </c>
      <c r="B31" s="151"/>
      <c r="C31" s="354" t="s">
        <v>543</v>
      </c>
      <c r="D31" s="152">
        <f>SUM(D8,D17,D24,D25,D26,D29)</f>
        <v>0</v>
      </c>
      <c r="E31" s="152">
        <f>SUM(E8,E17,E24,E25,E26,E29,E30)</f>
        <v>0</v>
      </c>
      <c r="F31" s="152">
        <f>SUM(F8,F17,F24,F25,F26,F29,F30)</f>
        <v>0</v>
      </c>
      <c r="G31" s="152" t="e">
        <f>F31/E31*100</f>
        <v>#DIV/0!</v>
      </c>
      <c r="I31" s="110">
        <f>SUM(D50-D31)</f>
        <v>0</v>
      </c>
    </row>
    <row r="32" spans="1:13" ht="7.5" customHeight="1" x14ac:dyDescent="0.2">
      <c r="A32" s="131"/>
      <c r="B32" s="132"/>
      <c r="C32" s="132"/>
      <c r="D32" s="390"/>
      <c r="E32" s="390"/>
      <c r="F32" s="390"/>
      <c r="G32" s="390"/>
    </row>
    <row r="33" spans="1:7" s="89" customFormat="1" ht="15" customHeight="1" x14ac:dyDescent="0.2">
      <c r="A33" s="150"/>
      <c r="B33" s="151"/>
      <c r="C33" s="387" t="s">
        <v>82</v>
      </c>
      <c r="D33" s="152"/>
      <c r="E33" s="152"/>
      <c r="F33" s="152"/>
      <c r="G33" s="152"/>
    </row>
    <row r="34" spans="1:7" s="125" customFormat="1" ht="15" customHeight="1" x14ac:dyDescent="0.2">
      <c r="A34" s="93" t="s">
        <v>2</v>
      </c>
      <c r="B34" s="2"/>
      <c r="C34" s="10" t="s">
        <v>49</v>
      </c>
      <c r="D34" s="141">
        <f>SUM(D35+D37+D39)</f>
        <v>0</v>
      </c>
      <c r="E34" s="141">
        <f>SUM(E35+E37+E39)</f>
        <v>0</v>
      </c>
      <c r="F34" s="141">
        <f>SUM(F35+F37+F39)</f>
        <v>0</v>
      </c>
      <c r="G34" s="141" t="e">
        <f t="shared" ref="G34:G40" si="0">F34/E34*100</f>
        <v>#DIV/0!</v>
      </c>
    </row>
    <row r="35" spans="1:7" ht="15" customHeight="1" x14ac:dyDescent="0.2">
      <c r="A35" s="113"/>
      <c r="B35" s="124" t="s">
        <v>50</v>
      </c>
      <c r="C35" s="7" t="s">
        <v>51</v>
      </c>
      <c r="D35" s="147"/>
      <c r="E35" s="147"/>
      <c r="F35" s="147"/>
      <c r="G35" s="147" t="e">
        <f t="shared" si="0"/>
        <v>#DIV/0!</v>
      </c>
    </row>
    <row r="36" spans="1:7" ht="15" customHeight="1" x14ac:dyDescent="0.2">
      <c r="A36" s="113"/>
      <c r="B36" s="124"/>
      <c r="C36" s="400" t="s">
        <v>535</v>
      </c>
      <c r="D36" s="405"/>
      <c r="E36" s="405"/>
      <c r="F36" s="405"/>
      <c r="G36" s="405" t="e">
        <f t="shared" si="0"/>
        <v>#DIV/0!</v>
      </c>
    </row>
    <row r="37" spans="1:7" ht="15" customHeight="1" x14ac:dyDescent="0.2">
      <c r="A37" s="97"/>
      <c r="B37" s="109" t="s">
        <v>52</v>
      </c>
      <c r="C37" s="3" t="s">
        <v>53</v>
      </c>
      <c r="D37" s="142"/>
      <c r="E37" s="142"/>
      <c r="F37" s="142"/>
      <c r="G37" s="142" t="e">
        <f t="shared" si="0"/>
        <v>#DIV/0!</v>
      </c>
    </row>
    <row r="38" spans="1:7" ht="15" customHeight="1" x14ac:dyDescent="0.2">
      <c r="A38" s="97"/>
      <c r="B38" s="109"/>
      <c r="C38" s="400" t="s">
        <v>535</v>
      </c>
      <c r="D38" s="405"/>
      <c r="E38" s="405"/>
      <c r="F38" s="405"/>
      <c r="G38" s="405" t="e">
        <f t="shared" si="0"/>
        <v>#DIV/0!</v>
      </c>
    </row>
    <row r="39" spans="1:7" ht="15" customHeight="1" x14ac:dyDescent="0.2">
      <c r="A39" s="97"/>
      <c r="B39" s="109" t="s">
        <v>54</v>
      </c>
      <c r="C39" s="3" t="s">
        <v>55</v>
      </c>
      <c r="D39" s="142"/>
      <c r="E39" s="142"/>
      <c r="F39" s="142"/>
      <c r="G39" s="142" t="e">
        <f t="shared" si="0"/>
        <v>#DIV/0!</v>
      </c>
    </row>
    <row r="40" spans="1:7" ht="15" customHeight="1" x14ac:dyDescent="0.2">
      <c r="A40" s="97"/>
      <c r="B40" s="109"/>
      <c r="C40" s="400" t="s">
        <v>535</v>
      </c>
      <c r="D40" s="405"/>
      <c r="E40" s="405"/>
      <c r="F40" s="405"/>
      <c r="G40" s="405" t="e">
        <f t="shared" si="0"/>
        <v>#DIV/0!</v>
      </c>
    </row>
    <row r="41" spans="1:7" ht="15" customHeight="1" x14ac:dyDescent="0.2">
      <c r="A41" s="97"/>
      <c r="B41" s="109" t="s">
        <v>56</v>
      </c>
      <c r="C41" s="3" t="s">
        <v>57</v>
      </c>
      <c r="D41" s="142">
        <v>0</v>
      </c>
      <c r="E41" s="142">
        <v>0</v>
      </c>
      <c r="F41" s="142">
        <v>0</v>
      </c>
      <c r="G41" s="142"/>
    </row>
    <row r="42" spans="1:7" ht="15" customHeight="1" x14ac:dyDescent="0.2">
      <c r="A42" s="97"/>
      <c r="B42" s="109" t="s">
        <v>58</v>
      </c>
      <c r="C42" s="3" t="s">
        <v>59</v>
      </c>
      <c r="D42" s="142">
        <v>0</v>
      </c>
      <c r="E42" s="142">
        <v>0</v>
      </c>
      <c r="F42" s="142">
        <v>0</v>
      </c>
      <c r="G42" s="142"/>
    </row>
    <row r="43" spans="1:7" ht="15" customHeight="1" x14ac:dyDescent="0.2">
      <c r="A43" s="93" t="s">
        <v>3</v>
      </c>
      <c r="B43" s="2"/>
      <c r="C43" s="10" t="s">
        <v>519</v>
      </c>
      <c r="D43" s="141">
        <f>SUM(D44:D47)</f>
        <v>0</v>
      </c>
      <c r="E43" s="141">
        <f>SUM(E44:E47)</f>
        <v>0</v>
      </c>
      <c r="F43" s="141">
        <f>SUM(F44:F47)</f>
        <v>0</v>
      </c>
      <c r="G43" s="141" t="e">
        <f>F43/E43*100</f>
        <v>#DIV/0!</v>
      </c>
    </row>
    <row r="44" spans="1:7" s="125" customFormat="1" ht="15" customHeight="1" x14ac:dyDescent="0.2">
      <c r="A44" s="113"/>
      <c r="B44" s="124" t="s">
        <v>4</v>
      </c>
      <c r="C44" s="7" t="s">
        <v>512</v>
      </c>
      <c r="D44" s="147">
        <v>0</v>
      </c>
      <c r="E44" s="147"/>
      <c r="F44" s="147"/>
      <c r="G44" s="147" t="e">
        <f>F44/E44*100</f>
        <v>#DIV/0!</v>
      </c>
    </row>
    <row r="45" spans="1:7" ht="15" customHeight="1" x14ac:dyDescent="0.2">
      <c r="A45" s="97"/>
      <c r="B45" s="109" t="s">
        <v>6</v>
      </c>
      <c r="C45" s="3" t="s">
        <v>64</v>
      </c>
      <c r="D45" s="142">
        <v>0</v>
      </c>
      <c r="E45" s="142"/>
      <c r="F45" s="142"/>
      <c r="G45" s="142"/>
    </row>
    <row r="46" spans="1:7" ht="30.75" customHeight="1" x14ac:dyDescent="0.2">
      <c r="A46" s="97"/>
      <c r="B46" s="109" t="s">
        <v>9</v>
      </c>
      <c r="C46" s="3" t="s">
        <v>65</v>
      </c>
      <c r="D46" s="142">
        <v>0</v>
      </c>
      <c r="E46" s="142">
        <v>0</v>
      </c>
      <c r="F46" s="142">
        <v>0</v>
      </c>
      <c r="G46" s="142"/>
    </row>
    <row r="47" spans="1:7" ht="15" customHeight="1" x14ac:dyDescent="0.2">
      <c r="A47" s="97"/>
      <c r="B47" s="109" t="s">
        <v>11</v>
      </c>
      <c r="C47" s="3" t="s">
        <v>513</v>
      </c>
      <c r="D47" s="142">
        <v>0</v>
      </c>
      <c r="E47" s="142">
        <v>0</v>
      </c>
      <c r="F47" s="142">
        <v>0</v>
      </c>
      <c r="G47" s="142"/>
    </row>
    <row r="48" spans="1:7" ht="15" customHeight="1" x14ac:dyDescent="0.2">
      <c r="A48" s="93" t="s">
        <v>12</v>
      </c>
      <c r="B48" s="2"/>
      <c r="C48" s="10" t="s">
        <v>514</v>
      </c>
      <c r="D48" s="119">
        <v>0</v>
      </c>
      <c r="E48" s="119">
        <v>0</v>
      </c>
      <c r="F48" s="119">
        <v>0</v>
      </c>
      <c r="G48" s="119"/>
    </row>
    <row r="49" spans="1:7" s="99" customFormat="1" ht="15" customHeight="1" x14ac:dyDescent="0.2">
      <c r="A49" s="93"/>
      <c r="B49" s="2"/>
      <c r="C49" s="10" t="s">
        <v>515</v>
      </c>
      <c r="D49" s="119"/>
      <c r="E49" s="119"/>
      <c r="F49" s="119"/>
      <c r="G49" s="119"/>
    </row>
    <row r="50" spans="1:7" ht="15" customHeight="1" x14ac:dyDescent="0.2">
      <c r="A50" s="150" t="s">
        <v>68</v>
      </c>
      <c r="B50" s="151"/>
      <c r="C50" s="354" t="s">
        <v>516</v>
      </c>
      <c r="D50" s="152">
        <f>+D34+D43+D48</f>
        <v>0</v>
      </c>
      <c r="E50" s="152">
        <f>+E34+E43+E48+E49</f>
        <v>0</v>
      </c>
      <c r="F50" s="152">
        <f>+F34+F43+F48+F49</f>
        <v>0</v>
      </c>
      <c r="G50" s="152" t="e">
        <f>F50/E50*100</f>
        <v>#DIV/0!</v>
      </c>
    </row>
    <row r="51" spans="1:7" ht="15" customHeight="1" x14ac:dyDescent="0.2">
      <c r="A51" s="403"/>
      <c r="B51" s="336"/>
      <c r="C51" s="355" t="s">
        <v>544</v>
      </c>
      <c r="D51" s="388">
        <f>SUM(D36+D38+D40)</f>
        <v>0</v>
      </c>
      <c r="E51" s="388">
        <f>SUM(E36+E38+E40)</f>
        <v>0</v>
      </c>
      <c r="F51" s="388">
        <f>SUM(F36+F38+F40)</f>
        <v>0</v>
      </c>
      <c r="G51" s="388" t="e">
        <f>F51/E51*100</f>
        <v>#DIV/0!</v>
      </c>
    </row>
    <row r="52" spans="1:7" ht="15" customHeight="1" x14ac:dyDescent="0.2">
      <c r="A52" s="133" t="s">
        <v>136</v>
      </c>
      <c r="B52" s="134"/>
      <c r="C52" s="135"/>
      <c r="D52" s="136"/>
      <c r="E52" s="136"/>
      <c r="F52" s="136"/>
      <c r="G52" s="136"/>
    </row>
    <row r="53" spans="1:7" ht="15" customHeight="1" x14ac:dyDescent="0.2">
      <c r="A53" s="133" t="s">
        <v>137</v>
      </c>
      <c r="B53" s="134"/>
      <c r="C53" s="135"/>
      <c r="D53" s="356"/>
      <c r="E53" s="356"/>
      <c r="F53" s="356"/>
      <c r="G53" s="356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7244094488188981" right="0.35433070866141736" top="0.31496062992125984" bottom="0.39370078740157483" header="0.51181102362204722" footer="0.15748031496062992"/>
  <pageSetup paperSize="9" scale="92" firstPageNumber="44" orientation="portrait" useFirstPageNumber="1" r:id="rId1"/>
  <headerFooter alignWithMargins="0">
    <oddFooter xml:space="preserve">&amp;C- &amp;P - 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D35" sqref="D35"/>
    </sheetView>
  </sheetViews>
  <sheetFormatPr defaultRowHeight="12.75" x14ac:dyDescent="0.2"/>
  <cols>
    <col min="1" max="1" width="6.83203125" style="75" customWidth="1"/>
    <col min="2" max="2" width="9.6640625" style="76" customWidth="1"/>
    <col min="3" max="3" width="66.33203125" style="76" customWidth="1"/>
    <col min="4" max="4" width="18.83203125" style="76" customWidth="1"/>
    <col min="5" max="6" width="14.6640625" style="76" hidden="1" customWidth="1"/>
    <col min="7" max="7" width="9.1640625" style="76" hidden="1" customWidth="1"/>
    <col min="8" max="16384" width="9.33203125" style="76"/>
  </cols>
  <sheetData>
    <row r="1" spans="1:7" s="326" customFormat="1" ht="21" customHeight="1" x14ac:dyDescent="0.2">
      <c r="A1" s="323"/>
      <c r="B1" s="324"/>
      <c r="C1" s="325"/>
      <c r="D1" s="1552" t="s">
        <v>553</v>
      </c>
      <c r="E1" s="1552"/>
      <c r="F1" s="1552"/>
      <c r="G1" s="1552"/>
    </row>
    <row r="2" spans="1:7" s="79" customFormat="1" ht="30" customHeight="1" x14ac:dyDescent="0.2">
      <c r="A2" s="1554" t="s">
        <v>495</v>
      </c>
      <c r="B2" s="1554"/>
      <c r="C2" s="77" t="s">
        <v>554</v>
      </c>
      <c r="D2" s="1523" t="s">
        <v>1024</v>
      </c>
      <c r="E2" s="343"/>
      <c r="F2" s="343"/>
      <c r="G2" s="343"/>
    </row>
    <row r="3" spans="1:7" s="79" customFormat="1" ht="30" customHeight="1" x14ac:dyDescent="0.2">
      <c r="A3" s="1554" t="s">
        <v>122</v>
      </c>
      <c r="B3" s="1554"/>
      <c r="C3" s="80" t="s">
        <v>547</v>
      </c>
      <c r="D3" s="1524"/>
      <c r="E3" s="327"/>
      <c r="F3" s="327"/>
      <c r="G3" s="327"/>
    </row>
    <row r="4" spans="1:7" s="83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ht="36.7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>SUM(E9:E16)</f>
        <v>0</v>
      </c>
      <c r="F8" s="141">
        <f>SUM(F9:F16)</f>
        <v>0</v>
      </c>
      <c r="G8" s="141" t="e">
        <f>F8/E8*100</f>
        <v>#DIV/0!</v>
      </c>
    </row>
    <row r="9" spans="1:7" s="96" customFormat="1" ht="15" customHeight="1" x14ac:dyDescent="0.2">
      <c r="A9" s="102"/>
      <c r="B9" s="98" t="s">
        <v>50</v>
      </c>
      <c r="C9" s="4" t="s">
        <v>14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/>
      <c r="E11" s="142"/>
      <c r="F11" s="142"/>
      <c r="G11" s="142" t="e">
        <f>F11/E11*100</f>
        <v>#DIV/0!</v>
      </c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/>
      <c r="E15" s="142"/>
      <c r="F15" s="142"/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>
        <v>0</v>
      </c>
      <c r="E16" s="145"/>
      <c r="F16" s="145"/>
      <c r="G16" s="145"/>
    </row>
    <row r="17" spans="1:9" s="96" customFormat="1" ht="15" customHeight="1" x14ac:dyDescent="0.2">
      <c r="A17" s="93" t="s">
        <v>3</v>
      </c>
      <c r="B17" s="94"/>
      <c r="C17" s="95" t="s">
        <v>498</v>
      </c>
      <c r="D17" s="141">
        <f>SUM(D18:D21)</f>
        <v>0</v>
      </c>
      <c r="E17" s="141">
        <f>SUM(E18:E21)</f>
        <v>0</v>
      </c>
      <c r="F17" s="141">
        <f>SUM(F18:F21)</f>
        <v>0</v>
      </c>
      <c r="G17" s="141" t="e">
        <f>F17/E17*100</f>
        <v>#DIV/0!</v>
      </c>
    </row>
    <row r="18" spans="1:9" s="99" customFormat="1" ht="15" customHeight="1" x14ac:dyDescent="0.2">
      <c r="A18" s="97"/>
      <c r="B18" s="98" t="s">
        <v>4</v>
      </c>
      <c r="C18" s="7" t="s">
        <v>499</v>
      </c>
      <c r="D18" s="142"/>
      <c r="E18" s="142"/>
      <c r="F18" s="142"/>
      <c r="G18" s="142" t="e">
        <f>F18/E18*100</f>
        <v>#DIV/0!</v>
      </c>
    </row>
    <row r="19" spans="1:9" s="99" customFormat="1" ht="15" customHeight="1" x14ac:dyDescent="0.2">
      <c r="A19" s="97"/>
      <c r="B19" s="98" t="s">
        <v>6</v>
      </c>
      <c r="C19" s="3" t="s">
        <v>500</v>
      </c>
      <c r="D19" s="142"/>
      <c r="E19" s="142"/>
      <c r="F19" s="142"/>
      <c r="G19" s="142"/>
    </row>
    <row r="20" spans="1:9" s="99" customFormat="1" ht="15" customHeight="1" x14ac:dyDescent="0.2">
      <c r="A20" s="97"/>
      <c r="B20" s="98" t="s">
        <v>7</v>
      </c>
      <c r="C20" s="3" t="s">
        <v>501</v>
      </c>
      <c r="D20" s="142"/>
      <c r="E20" s="142"/>
      <c r="F20" s="142"/>
      <c r="G20" s="142"/>
    </row>
    <row r="21" spans="1:9" s="99" customFormat="1" ht="15" customHeight="1" x14ac:dyDescent="0.2">
      <c r="A21" s="97"/>
      <c r="B21" s="98" t="s">
        <v>8</v>
      </c>
      <c r="C21" s="3" t="s">
        <v>502</v>
      </c>
      <c r="D21" s="142"/>
      <c r="E21" s="142"/>
      <c r="F21" s="142"/>
      <c r="G21" s="142" t="e">
        <f>F21/E21*100</f>
        <v>#DIV/0!</v>
      </c>
    </row>
    <row r="22" spans="1:9" s="99" customFormat="1" ht="15" customHeight="1" x14ac:dyDescent="0.2">
      <c r="A22" s="93" t="s">
        <v>12</v>
      </c>
      <c r="B22" s="2"/>
      <c r="C22" s="2" t="s">
        <v>503</v>
      </c>
      <c r="D22" s="119">
        <v>0</v>
      </c>
      <c r="E22" s="119">
        <v>0</v>
      </c>
      <c r="F22" s="119">
        <v>0</v>
      </c>
      <c r="G22" s="119"/>
    </row>
    <row r="23" spans="1:9" s="96" customFormat="1" ht="15" customHeight="1" x14ac:dyDescent="0.2">
      <c r="A23" s="93" t="s">
        <v>68</v>
      </c>
      <c r="B23" s="94"/>
      <c r="C23" s="2" t="s">
        <v>539</v>
      </c>
      <c r="D23" s="119">
        <v>0</v>
      </c>
      <c r="E23" s="119">
        <v>0</v>
      </c>
      <c r="F23" s="119">
        <v>0</v>
      </c>
      <c r="G23" s="119"/>
    </row>
    <row r="24" spans="1:9" s="96" customFormat="1" ht="15" customHeight="1" x14ac:dyDescent="0.2">
      <c r="A24" s="93" t="s">
        <v>27</v>
      </c>
      <c r="B24" s="115"/>
      <c r="C24" s="2" t="s">
        <v>540</v>
      </c>
      <c r="D24" s="148">
        <f>+D25+D26</f>
        <v>0</v>
      </c>
      <c r="E24" s="148">
        <f>+E25+E26</f>
        <v>0</v>
      </c>
      <c r="F24" s="148">
        <f>+F25+F26</f>
        <v>0</v>
      </c>
      <c r="G24" s="148"/>
    </row>
    <row r="25" spans="1:9" s="96" customFormat="1" ht="15" customHeight="1" x14ac:dyDescent="0.2">
      <c r="A25" s="102"/>
      <c r="B25" s="108" t="s">
        <v>28</v>
      </c>
      <c r="C25" s="4" t="s">
        <v>507</v>
      </c>
      <c r="D25" s="149">
        <v>0</v>
      </c>
      <c r="E25" s="149">
        <v>0</v>
      </c>
      <c r="F25" s="149">
        <v>0</v>
      </c>
      <c r="G25" s="149"/>
    </row>
    <row r="26" spans="1:9" s="96" customFormat="1" ht="15" customHeight="1" x14ac:dyDescent="0.2">
      <c r="A26" s="111"/>
      <c r="B26" s="112" t="s">
        <v>29</v>
      </c>
      <c r="C26" s="6" t="s">
        <v>508</v>
      </c>
      <c r="D26" s="146">
        <v>0</v>
      </c>
      <c r="E26" s="146">
        <v>0</v>
      </c>
      <c r="F26" s="146">
        <v>0</v>
      </c>
      <c r="G26" s="146"/>
    </row>
    <row r="27" spans="1:9" s="99" customFormat="1" ht="15" customHeight="1" x14ac:dyDescent="0.25">
      <c r="A27" s="116" t="s">
        <v>32</v>
      </c>
      <c r="B27" s="117"/>
      <c r="C27" s="2" t="s">
        <v>541</v>
      </c>
      <c r="D27" s="119"/>
      <c r="E27" s="119"/>
      <c r="F27" s="119"/>
      <c r="G27" s="119" t="e">
        <f>F27/E27*100</f>
        <v>#DIV/0!</v>
      </c>
      <c r="I27" s="110">
        <f>SUM(D32-D29)</f>
        <v>0</v>
      </c>
    </row>
    <row r="28" spans="1:9" s="99" customFormat="1" ht="15" customHeight="1" x14ac:dyDescent="0.25">
      <c r="A28" s="116"/>
      <c r="B28" s="117"/>
      <c r="C28" s="2" t="s">
        <v>542</v>
      </c>
      <c r="D28" s="119"/>
      <c r="E28" s="119"/>
      <c r="F28" s="119"/>
      <c r="G28" s="119"/>
    </row>
    <row r="29" spans="1:9" s="99" customFormat="1" ht="15" customHeight="1" x14ac:dyDescent="0.2">
      <c r="A29" s="150" t="s">
        <v>74</v>
      </c>
      <c r="B29" s="151"/>
      <c r="C29" s="354" t="s">
        <v>543</v>
      </c>
      <c r="D29" s="152">
        <f>SUM(D8,D17,D22,D23,D24,D27)</f>
        <v>0</v>
      </c>
      <c r="E29" s="152">
        <f>SUM(E8,E17,E22,E23,E24,E27,E28)</f>
        <v>0</v>
      </c>
      <c r="F29" s="152">
        <f>SUM(F8,F17,F22,F23,F24,F27,F28)</f>
        <v>0</v>
      </c>
      <c r="G29" s="152" t="e">
        <f>F29/E29*100</f>
        <v>#DIV/0!</v>
      </c>
      <c r="I29" s="110"/>
    </row>
    <row r="30" spans="1:9" s="99" customFormat="1" ht="15" customHeight="1" x14ac:dyDescent="0.2">
      <c r="A30" s="336"/>
      <c r="B30" s="336"/>
      <c r="C30" s="355"/>
      <c r="D30" s="388"/>
      <c r="E30" s="388"/>
      <c r="F30" s="388"/>
      <c r="G30" s="388"/>
    </row>
    <row r="31" spans="1:9" s="89" customFormat="1" ht="15" customHeight="1" x14ac:dyDescent="0.2">
      <c r="A31" s="150"/>
      <c r="B31" s="151"/>
      <c r="C31" s="387" t="s">
        <v>82</v>
      </c>
      <c r="D31" s="152"/>
      <c r="E31" s="152"/>
      <c r="F31" s="152"/>
      <c r="G31" s="152"/>
    </row>
    <row r="32" spans="1:9" s="125" customFormat="1" ht="15" customHeight="1" x14ac:dyDescent="0.2">
      <c r="A32" s="93" t="s">
        <v>2</v>
      </c>
      <c r="B32" s="2"/>
      <c r="C32" s="10" t="s">
        <v>49</v>
      </c>
      <c r="D32" s="141">
        <f>SUM(D33:D37)</f>
        <v>0</v>
      </c>
      <c r="E32" s="141">
        <f>SUM(E33:E37)</f>
        <v>0</v>
      </c>
      <c r="F32" s="141">
        <f>SUM(F33:F37)</f>
        <v>0</v>
      </c>
      <c r="G32" s="141" t="e">
        <f>F32/E32*100</f>
        <v>#DIV/0!</v>
      </c>
    </row>
    <row r="33" spans="1:7" ht="15" customHeight="1" x14ac:dyDescent="0.2">
      <c r="A33" s="113"/>
      <c r="B33" s="124" t="s">
        <v>50</v>
      </c>
      <c r="C33" s="7" t="s">
        <v>51</v>
      </c>
      <c r="D33" s="147"/>
      <c r="E33" s="147"/>
      <c r="F33" s="147"/>
      <c r="G33" s="147" t="e">
        <f>F33/E33*100</f>
        <v>#DIV/0!</v>
      </c>
    </row>
    <row r="34" spans="1:7" ht="15" customHeight="1" x14ac:dyDescent="0.2">
      <c r="A34" s="97"/>
      <c r="B34" s="109" t="s">
        <v>52</v>
      </c>
      <c r="C34" s="3" t="s">
        <v>53</v>
      </c>
      <c r="D34" s="142"/>
      <c r="E34" s="142"/>
      <c r="F34" s="142"/>
      <c r="G34" s="142" t="e">
        <f>F34/E34*100</f>
        <v>#DIV/0!</v>
      </c>
    </row>
    <row r="35" spans="1:7" ht="15" customHeight="1" x14ac:dyDescent="0.2">
      <c r="A35" s="97"/>
      <c r="B35" s="109" t="s">
        <v>54</v>
      </c>
      <c r="C35" s="3" t="s">
        <v>55</v>
      </c>
      <c r="D35" s="142"/>
      <c r="E35" s="142"/>
      <c r="F35" s="142"/>
      <c r="G35" s="142" t="e">
        <f>F35/E35*100</f>
        <v>#DIV/0!</v>
      </c>
    </row>
    <row r="36" spans="1:7" ht="15" customHeight="1" x14ac:dyDescent="0.2">
      <c r="A36" s="97"/>
      <c r="B36" s="109" t="s">
        <v>56</v>
      </c>
      <c r="C36" s="3" t="s">
        <v>57</v>
      </c>
      <c r="D36" s="142"/>
      <c r="E36" s="142"/>
      <c r="F36" s="142"/>
      <c r="G36" s="142"/>
    </row>
    <row r="37" spans="1:7" ht="15" customHeight="1" x14ac:dyDescent="0.2">
      <c r="A37" s="97"/>
      <c r="B37" s="109" t="s">
        <v>58</v>
      </c>
      <c r="C37" s="3" t="s">
        <v>59</v>
      </c>
      <c r="D37" s="142">
        <v>0</v>
      </c>
      <c r="E37" s="142">
        <v>0</v>
      </c>
      <c r="F37" s="142">
        <v>0</v>
      </c>
      <c r="G37" s="142"/>
    </row>
    <row r="38" spans="1:7" ht="15" customHeight="1" x14ac:dyDescent="0.2">
      <c r="A38" s="93" t="s">
        <v>3</v>
      </c>
      <c r="B38" s="2"/>
      <c r="C38" s="10" t="s">
        <v>519</v>
      </c>
      <c r="D38" s="141">
        <f>SUM(D39:D42)</f>
        <v>0</v>
      </c>
      <c r="E38" s="141">
        <f>SUM(E39:E42)</f>
        <v>0</v>
      </c>
      <c r="F38" s="141">
        <f>SUM(F39:F42)</f>
        <v>0</v>
      </c>
      <c r="G38" s="141" t="e">
        <f>F38/E38*100</f>
        <v>#DIV/0!</v>
      </c>
    </row>
    <row r="39" spans="1:7" s="125" customFormat="1" ht="15" customHeight="1" x14ac:dyDescent="0.2">
      <c r="A39" s="113"/>
      <c r="B39" s="124" t="s">
        <v>4</v>
      </c>
      <c r="C39" s="7" t="s">
        <v>512</v>
      </c>
      <c r="D39" s="147">
        <v>0</v>
      </c>
      <c r="E39" s="147"/>
      <c r="F39" s="147"/>
      <c r="G39" s="147" t="e">
        <f>F39/E39*100</f>
        <v>#DIV/0!</v>
      </c>
    </row>
    <row r="40" spans="1:7" ht="15" customHeight="1" x14ac:dyDescent="0.2">
      <c r="A40" s="97"/>
      <c r="B40" s="109" t="s">
        <v>6</v>
      </c>
      <c r="C40" s="3" t="s">
        <v>64</v>
      </c>
      <c r="D40" s="142">
        <v>0</v>
      </c>
      <c r="E40" s="142">
        <v>0</v>
      </c>
      <c r="F40" s="142">
        <v>0</v>
      </c>
      <c r="G40" s="142"/>
    </row>
    <row r="41" spans="1:7" ht="30" customHeight="1" x14ac:dyDescent="0.2">
      <c r="A41" s="97"/>
      <c r="B41" s="109" t="s">
        <v>9</v>
      </c>
      <c r="C41" s="3" t="s">
        <v>65</v>
      </c>
      <c r="D41" s="142">
        <v>0</v>
      </c>
      <c r="E41" s="142">
        <v>0</v>
      </c>
      <c r="F41" s="142">
        <v>0</v>
      </c>
      <c r="G41" s="142"/>
    </row>
    <row r="42" spans="1:7" ht="15" customHeight="1" x14ac:dyDescent="0.2">
      <c r="A42" s="97"/>
      <c r="B42" s="109" t="s">
        <v>11</v>
      </c>
      <c r="C42" s="3" t="s">
        <v>513</v>
      </c>
      <c r="D42" s="142">
        <v>0</v>
      </c>
      <c r="E42" s="142">
        <v>0</v>
      </c>
      <c r="F42" s="142">
        <v>0</v>
      </c>
      <c r="G42" s="142"/>
    </row>
    <row r="43" spans="1:7" ht="15" customHeight="1" x14ac:dyDescent="0.2">
      <c r="A43" s="93" t="s">
        <v>12</v>
      </c>
      <c r="B43" s="2"/>
      <c r="C43" s="10" t="s">
        <v>514</v>
      </c>
      <c r="D43" s="119">
        <v>0</v>
      </c>
      <c r="E43" s="119">
        <v>0</v>
      </c>
      <c r="F43" s="119">
        <v>0</v>
      </c>
      <c r="G43" s="119"/>
    </row>
    <row r="44" spans="1:7" s="99" customFormat="1" ht="15" customHeight="1" x14ac:dyDescent="0.2">
      <c r="A44" s="93"/>
      <c r="B44" s="2"/>
      <c r="C44" s="10" t="s">
        <v>515</v>
      </c>
      <c r="D44" s="119"/>
      <c r="E44" s="119"/>
      <c r="F44" s="119"/>
      <c r="G44" s="119"/>
    </row>
    <row r="45" spans="1:7" ht="15" customHeight="1" x14ac:dyDescent="0.2">
      <c r="A45" s="150" t="s">
        <v>68</v>
      </c>
      <c r="B45" s="151"/>
      <c r="C45" s="354" t="s">
        <v>516</v>
      </c>
      <c r="D45" s="152">
        <f>+D32+D38+D43</f>
        <v>0</v>
      </c>
      <c r="E45" s="152">
        <f>+E32+E38+E43+E44</f>
        <v>0</v>
      </c>
      <c r="F45" s="152">
        <f>+F32+F38+F43+F44</f>
        <v>0</v>
      </c>
      <c r="G45" s="152"/>
    </row>
    <row r="46" spans="1:7" ht="15" customHeight="1" x14ac:dyDescent="0.2">
      <c r="A46" s="131"/>
      <c r="B46" s="132"/>
      <c r="C46" s="132"/>
      <c r="D46" s="390"/>
      <c r="E46" s="390"/>
      <c r="F46" s="390"/>
      <c r="G46" s="390"/>
    </row>
    <row r="47" spans="1:7" ht="15" customHeight="1" x14ac:dyDescent="0.2">
      <c r="A47" s="133" t="s">
        <v>136</v>
      </c>
      <c r="B47" s="134"/>
      <c r="C47" s="135"/>
      <c r="D47" s="136"/>
      <c r="E47" s="136"/>
      <c r="F47" s="136"/>
      <c r="G47" s="136"/>
    </row>
    <row r="48" spans="1:7" ht="15" customHeight="1" x14ac:dyDescent="0.2">
      <c r="A48" s="133" t="s">
        <v>137</v>
      </c>
      <c r="B48" s="134"/>
      <c r="C48" s="135"/>
      <c r="D48" s="356"/>
      <c r="E48" s="356"/>
      <c r="F48" s="356"/>
      <c r="G48" s="356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3307086614173229" right="0.31496062992125984" top="0.55118110236220474" bottom="0.39370078740157483" header="0.51181102362204722" footer="0.15748031496062992"/>
  <pageSetup paperSize="9" scale="95" firstPageNumber="45" orientation="portrait" useFirstPageNumber="1" r:id="rId1"/>
  <headerFooter alignWithMargins="0">
    <oddFooter>&amp;C-&amp;P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M28" sqref="M28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2.33203125" style="76" customWidth="1"/>
    <col min="4" max="4" width="18" style="76" customWidth="1"/>
    <col min="5" max="6" width="13.83203125" style="76" hidden="1" customWidth="1"/>
    <col min="7" max="7" width="1.33203125" style="76" hidden="1" customWidth="1"/>
    <col min="8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555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556</v>
      </c>
      <c r="D2" s="1523" t="s">
        <v>1024</v>
      </c>
      <c r="E2" s="343"/>
      <c r="F2" s="343"/>
      <c r="G2" s="343"/>
    </row>
    <row r="3" spans="1:7" s="410" customFormat="1" ht="30" customHeight="1" x14ac:dyDescent="0.2">
      <c r="A3" s="1554" t="s">
        <v>122</v>
      </c>
      <c r="B3" s="1554"/>
      <c r="C3" s="80" t="s">
        <v>547</v>
      </c>
      <c r="D3" s="1524"/>
      <c r="E3" s="327"/>
      <c r="F3" s="327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29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>SUM(E9:E16)</f>
        <v>0</v>
      </c>
      <c r="F8" s="141">
        <f>SUM(F9:F16)</f>
        <v>0</v>
      </c>
      <c r="G8" s="141" t="e">
        <f>F8/E8*100</f>
        <v>#DIV/0!</v>
      </c>
    </row>
    <row r="9" spans="1:7" s="96" customFormat="1" ht="15" customHeight="1" x14ac:dyDescent="0.2">
      <c r="A9" s="102"/>
      <c r="B9" s="98" t="s">
        <v>50</v>
      </c>
      <c r="C9" s="4" t="s">
        <v>14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/>
      <c r="E11" s="142"/>
      <c r="F11" s="142"/>
      <c r="G11" s="142" t="e">
        <f>F11/E11*100</f>
        <v>#DIV/0!</v>
      </c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/>
      <c r="E15" s="142"/>
      <c r="F15" s="142"/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>
        <v>0</v>
      </c>
      <c r="E16" s="145"/>
      <c r="F16" s="145"/>
      <c r="G16" s="145"/>
    </row>
    <row r="17" spans="1:9" s="96" customFormat="1" ht="15" customHeight="1" x14ac:dyDescent="0.2">
      <c r="A17" s="93" t="s">
        <v>3</v>
      </c>
      <c r="B17" s="94"/>
      <c r="C17" s="95" t="s">
        <v>498</v>
      </c>
      <c r="D17" s="141">
        <f>SUM(D18:D21)</f>
        <v>0</v>
      </c>
      <c r="E17" s="141">
        <f>SUM(E18:E21)</f>
        <v>0</v>
      </c>
      <c r="F17" s="141">
        <f>SUM(F18:F21)</f>
        <v>0</v>
      </c>
      <c r="G17" s="141" t="e">
        <f>F17/E17*100</f>
        <v>#DIV/0!</v>
      </c>
    </row>
    <row r="18" spans="1:9" s="99" customFormat="1" ht="15" customHeight="1" x14ac:dyDescent="0.2">
      <c r="A18" s="97"/>
      <c r="B18" s="98" t="s">
        <v>4</v>
      </c>
      <c r="C18" s="7" t="s">
        <v>499</v>
      </c>
      <c r="D18" s="142"/>
      <c r="E18" s="142"/>
      <c r="F18" s="142"/>
      <c r="G18" s="142" t="e">
        <f>F18/E18*100</f>
        <v>#DIV/0!</v>
      </c>
    </row>
    <row r="19" spans="1:9" s="99" customFormat="1" ht="15" customHeight="1" x14ac:dyDescent="0.2">
      <c r="A19" s="97"/>
      <c r="B19" s="98" t="s">
        <v>6</v>
      </c>
      <c r="C19" s="3" t="s">
        <v>500</v>
      </c>
      <c r="D19" s="142"/>
      <c r="E19" s="142"/>
      <c r="F19" s="142"/>
      <c r="G19" s="142"/>
    </row>
    <row r="20" spans="1:9" s="99" customFormat="1" ht="15" customHeight="1" x14ac:dyDescent="0.2">
      <c r="A20" s="97"/>
      <c r="B20" s="98" t="s">
        <v>7</v>
      </c>
      <c r="C20" s="3" t="s">
        <v>501</v>
      </c>
      <c r="D20" s="142"/>
      <c r="E20" s="142"/>
      <c r="F20" s="142"/>
      <c r="G20" s="142"/>
    </row>
    <row r="21" spans="1:9" s="99" customFormat="1" ht="15" customHeight="1" x14ac:dyDescent="0.2">
      <c r="A21" s="97"/>
      <c r="B21" s="98" t="s">
        <v>8</v>
      </c>
      <c r="C21" s="3" t="s">
        <v>502</v>
      </c>
      <c r="D21" s="142"/>
      <c r="E21" s="142"/>
      <c r="F21" s="142"/>
      <c r="G21" s="142" t="e">
        <f>F21/E21*100</f>
        <v>#DIV/0!</v>
      </c>
    </row>
    <row r="22" spans="1:9" s="99" customFormat="1" ht="15" customHeight="1" x14ac:dyDescent="0.2">
      <c r="A22" s="93" t="s">
        <v>12</v>
      </c>
      <c r="B22" s="2"/>
      <c r="C22" s="2" t="s">
        <v>503</v>
      </c>
      <c r="D22" s="119">
        <v>0</v>
      </c>
      <c r="E22" s="119">
        <v>0</v>
      </c>
      <c r="F22" s="119">
        <v>0</v>
      </c>
      <c r="G22" s="119"/>
    </row>
    <row r="23" spans="1:9" s="96" customFormat="1" ht="15" customHeight="1" x14ac:dyDescent="0.2">
      <c r="A23" s="93" t="s">
        <v>68</v>
      </c>
      <c r="B23" s="94"/>
      <c r="C23" s="2" t="s">
        <v>539</v>
      </c>
      <c r="D23" s="119">
        <v>0</v>
      </c>
      <c r="E23" s="119">
        <v>0</v>
      </c>
      <c r="F23" s="119">
        <v>0</v>
      </c>
      <c r="G23" s="119"/>
    </row>
    <row r="24" spans="1:9" s="96" customFormat="1" ht="15" customHeight="1" x14ac:dyDescent="0.2">
      <c r="A24" s="93" t="s">
        <v>27</v>
      </c>
      <c r="B24" s="115"/>
      <c r="C24" s="2" t="s">
        <v>540</v>
      </c>
      <c r="D24" s="148">
        <f>+D25+D26</f>
        <v>0</v>
      </c>
      <c r="E24" s="148">
        <f>+E25+E26</f>
        <v>0</v>
      </c>
      <c r="F24" s="148">
        <f>+F25+F26</f>
        <v>0</v>
      </c>
      <c r="G24" s="148"/>
    </row>
    <row r="25" spans="1:9" s="96" customFormat="1" ht="15" customHeight="1" x14ac:dyDescent="0.2">
      <c r="A25" s="102"/>
      <c r="B25" s="108" t="s">
        <v>28</v>
      </c>
      <c r="C25" s="4" t="s">
        <v>507</v>
      </c>
      <c r="D25" s="149">
        <v>0</v>
      </c>
      <c r="E25" s="149">
        <v>0</v>
      </c>
      <c r="F25" s="149">
        <v>0</v>
      </c>
      <c r="G25" s="149"/>
    </row>
    <row r="26" spans="1:9" s="96" customFormat="1" ht="15" customHeight="1" x14ac:dyDescent="0.2">
      <c r="A26" s="111"/>
      <c r="B26" s="112" t="s">
        <v>29</v>
      </c>
      <c r="C26" s="6" t="s">
        <v>508</v>
      </c>
      <c r="D26" s="146">
        <v>0</v>
      </c>
      <c r="E26" s="146">
        <v>0</v>
      </c>
      <c r="F26" s="146">
        <v>0</v>
      </c>
      <c r="G26" s="146"/>
    </row>
    <row r="27" spans="1:9" s="99" customFormat="1" ht="15" customHeight="1" x14ac:dyDescent="0.25">
      <c r="A27" s="116" t="s">
        <v>32</v>
      </c>
      <c r="B27" s="117"/>
      <c r="C27" s="2" t="s">
        <v>541</v>
      </c>
      <c r="D27" s="119"/>
      <c r="E27" s="119"/>
      <c r="F27" s="119"/>
      <c r="G27" s="119" t="e">
        <f>F27/E27*100</f>
        <v>#DIV/0!</v>
      </c>
      <c r="I27" s="110"/>
    </row>
    <row r="28" spans="1:9" s="99" customFormat="1" ht="15" customHeight="1" x14ac:dyDescent="0.25">
      <c r="A28" s="116"/>
      <c r="B28" s="117"/>
      <c r="C28" s="2" t="s">
        <v>542</v>
      </c>
      <c r="D28" s="119"/>
      <c r="E28" s="119"/>
      <c r="F28" s="119"/>
      <c r="G28" s="119"/>
    </row>
    <row r="29" spans="1:9" s="99" customFormat="1" ht="15" customHeight="1" x14ac:dyDescent="0.2">
      <c r="A29" s="150" t="s">
        <v>74</v>
      </c>
      <c r="B29" s="151"/>
      <c r="C29" s="354" t="s">
        <v>543</v>
      </c>
      <c r="D29" s="152">
        <f>SUM(D8,D17,D22,D23,D24,D27)</f>
        <v>0</v>
      </c>
      <c r="E29" s="152">
        <f>SUM(E8,E17,E22,E23,E24,E27,E28)</f>
        <v>0</v>
      </c>
      <c r="F29" s="152">
        <f>SUM(F8,F17,F22,F23,F24,F27,F28)</f>
        <v>0</v>
      </c>
      <c r="G29" s="152" t="e">
        <f>F29/E29*100</f>
        <v>#DIV/0!</v>
      </c>
    </row>
    <row r="30" spans="1:9" s="99" customFormat="1" ht="15" customHeight="1" x14ac:dyDescent="0.2">
      <c r="A30" s="336"/>
      <c r="B30" s="336"/>
      <c r="C30" s="355"/>
      <c r="D30" s="388"/>
      <c r="E30" s="388"/>
      <c r="F30" s="388"/>
      <c r="G30" s="388"/>
    </row>
    <row r="31" spans="1:9" s="411" customFormat="1" ht="15" customHeight="1" x14ac:dyDescent="0.2">
      <c r="A31" s="150"/>
      <c r="B31" s="151"/>
      <c r="C31" s="387" t="s">
        <v>82</v>
      </c>
      <c r="D31" s="152"/>
      <c r="E31" s="152"/>
      <c r="F31" s="152"/>
      <c r="G31" s="152"/>
    </row>
    <row r="32" spans="1:9" s="96" customFormat="1" ht="15" customHeight="1" x14ac:dyDescent="0.2">
      <c r="A32" s="93" t="s">
        <v>2</v>
      </c>
      <c r="B32" s="2"/>
      <c r="C32" s="10" t="s">
        <v>49</v>
      </c>
      <c r="D32" s="141">
        <f>SUM(D33:D37)</f>
        <v>0</v>
      </c>
      <c r="E32" s="141">
        <f>SUM(E33:E37)</f>
        <v>0</v>
      </c>
      <c r="F32" s="141">
        <f>SUM(F33:F37)</f>
        <v>0</v>
      </c>
      <c r="G32" s="141" t="e">
        <f>F32/E32*100</f>
        <v>#DIV/0!</v>
      </c>
      <c r="I32" s="404">
        <f>SUM(D35-D29)</f>
        <v>0</v>
      </c>
    </row>
    <row r="33" spans="1:7" s="99" customFormat="1" ht="15" customHeight="1" x14ac:dyDescent="0.2">
      <c r="A33" s="113"/>
      <c r="B33" s="124" t="s">
        <v>50</v>
      </c>
      <c r="C33" s="7" t="s">
        <v>51</v>
      </c>
      <c r="D33" s="147"/>
      <c r="E33" s="147"/>
      <c r="F33" s="147"/>
      <c r="G33" s="147" t="e">
        <f>F33/E33*100</f>
        <v>#DIV/0!</v>
      </c>
    </row>
    <row r="34" spans="1:7" s="99" customFormat="1" ht="15" customHeight="1" x14ac:dyDescent="0.2">
      <c r="A34" s="97"/>
      <c r="B34" s="109" t="s">
        <v>52</v>
      </c>
      <c r="C34" s="3" t="s">
        <v>53</v>
      </c>
      <c r="D34" s="142"/>
      <c r="E34" s="142"/>
      <c r="F34" s="142"/>
      <c r="G34" s="142" t="e">
        <f>F34/E34*100</f>
        <v>#DIV/0!</v>
      </c>
    </row>
    <row r="35" spans="1:7" s="99" customFormat="1" ht="15" customHeight="1" x14ac:dyDescent="0.2">
      <c r="A35" s="97"/>
      <c r="B35" s="109" t="s">
        <v>54</v>
      </c>
      <c r="C35" s="3" t="s">
        <v>55</v>
      </c>
      <c r="D35" s="142"/>
      <c r="E35" s="142"/>
      <c r="F35" s="142"/>
      <c r="G35" s="142" t="e">
        <f>F35/E35*100</f>
        <v>#DIV/0!</v>
      </c>
    </row>
    <row r="36" spans="1:7" s="99" customFormat="1" ht="15" customHeight="1" x14ac:dyDescent="0.2">
      <c r="A36" s="97"/>
      <c r="B36" s="109" t="s">
        <v>56</v>
      </c>
      <c r="C36" s="3" t="s">
        <v>57</v>
      </c>
      <c r="D36" s="142">
        <v>0</v>
      </c>
      <c r="E36" s="142">
        <v>0</v>
      </c>
      <c r="F36" s="142">
        <v>0</v>
      </c>
      <c r="G36" s="142"/>
    </row>
    <row r="37" spans="1:7" s="99" customFormat="1" ht="15" customHeight="1" x14ac:dyDescent="0.2">
      <c r="A37" s="97"/>
      <c r="B37" s="109" t="s">
        <v>58</v>
      </c>
      <c r="C37" s="3" t="s">
        <v>59</v>
      </c>
      <c r="D37" s="142">
        <v>0</v>
      </c>
      <c r="E37" s="142">
        <v>0</v>
      </c>
      <c r="F37" s="142">
        <v>0</v>
      </c>
      <c r="G37" s="142"/>
    </row>
    <row r="38" spans="1:7" s="99" customFormat="1" ht="15" customHeight="1" x14ac:dyDescent="0.2">
      <c r="A38" s="93" t="s">
        <v>3</v>
      </c>
      <c r="B38" s="2"/>
      <c r="C38" s="10" t="s">
        <v>519</v>
      </c>
      <c r="D38" s="141">
        <f>SUM(D39:D42)</f>
        <v>0</v>
      </c>
      <c r="E38" s="141">
        <f>SUM(E39:E42)</f>
        <v>0</v>
      </c>
      <c r="F38" s="141">
        <f>SUM(F39:F42)</f>
        <v>0</v>
      </c>
      <c r="G38" s="141" t="e">
        <f>F38/E38*100</f>
        <v>#DIV/0!</v>
      </c>
    </row>
    <row r="39" spans="1:7" s="96" customFormat="1" ht="15" customHeight="1" x14ac:dyDescent="0.2">
      <c r="A39" s="113"/>
      <c r="B39" s="124" t="s">
        <v>4</v>
      </c>
      <c r="C39" s="7" t="s">
        <v>512</v>
      </c>
      <c r="D39" s="147">
        <v>0</v>
      </c>
      <c r="E39" s="147"/>
      <c r="F39" s="147"/>
      <c r="G39" s="147" t="e">
        <f>F39/E39*100</f>
        <v>#DIV/0!</v>
      </c>
    </row>
    <row r="40" spans="1:7" s="99" customFormat="1" ht="15" customHeight="1" x14ac:dyDescent="0.2">
      <c r="A40" s="97"/>
      <c r="B40" s="109" t="s">
        <v>6</v>
      </c>
      <c r="C40" s="3" t="s">
        <v>64</v>
      </c>
      <c r="D40" s="142">
        <v>0</v>
      </c>
      <c r="E40" s="142"/>
      <c r="F40" s="142"/>
      <c r="G40" s="142"/>
    </row>
    <row r="41" spans="1:7" s="99" customFormat="1" ht="30.75" customHeight="1" x14ac:dyDescent="0.2">
      <c r="A41" s="97"/>
      <c r="B41" s="109" t="s">
        <v>9</v>
      </c>
      <c r="C41" s="3" t="s">
        <v>65</v>
      </c>
      <c r="D41" s="142">
        <v>0</v>
      </c>
      <c r="E41" s="142">
        <v>0</v>
      </c>
      <c r="F41" s="142">
        <v>0</v>
      </c>
      <c r="G41" s="142"/>
    </row>
    <row r="42" spans="1:7" s="99" customFormat="1" ht="15" customHeight="1" x14ac:dyDescent="0.2">
      <c r="A42" s="97"/>
      <c r="B42" s="109" t="s">
        <v>11</v>
      </c>
      <c r="C42" s="3" t="s">
        <v>513</v>
      </c>
      <c r="D42" s="142">
        <v>0</v>
      </c>
      <c r="E42" s="142">
        <v>0</v>
      </c>
      <c r="F42" s="142">
        <v>0</v>
      </c>
      <c r="G42" s="142"/>
    </row>
    <row r="43" spans="1:7" s="99" customFormat="1" ht="15" customHeight="1" x14ac:dyDescent="0.2">
      <c r="A43" s="93" t="s">
        <v>12</v>
      </c>
      <c r="B43" s="2"/>
      <c r="C43" s="10" t="s">
        <v>514</v>
      </c>
      <c r="D43" s="119">
        <v>0</v>
      </c>
      <c r="E43" s="119">
        <v>0</v>
      </c>
      <c r="F43" s="119">
        <v>0</v>
      </c>
      <c r="G43" s="119"/>
    </row>
    <row r="44" spans="1:7" s="99" customFormat="1" ht="15" customHeight="1" x14ac:dyDescent="0.2">
      <c r="A44" s="93"/>
      <c r="B44" s="2"/>
      <c r="C44" s="10" t="s">
        <v>515</v>
      </c>
      <c r="D44" s="119"/>
      <c r="E44" s="119"/>
      <c r="F44" s="119"/>
      <c r="G44" s="119"/>
    </row>
    <row r="45" spans="1:7" s="99" customFormat="1" ht="15" customHeight="1" x14ac:dyDescent="0.2">
      <c r="A45" s="150" t="s">
        <v>68</v>
      </c>
      <c r="B45" s="151"/>
      <c r="C45" s="354" t="s">
        <v>516</v>
      </c>
      <c r="D45" s="152">
        <f>+D32+D38+D43</f>
        <v>0</v>
      </c>
      <c r="E45" s="152">
        <f>+E32+E38+E43+E44</f>
        <v>0</v>
      </c>
      <c r="F45" s="152">
        <f>+F32+F38+F43+F44</f>
        <v>0</v>
      </c>
      <c r="G45" s="152" t="e">
        <f>F45/E45*100</f>
        <v>#DIV/0!</v>
      </c>
    </row>
    <row r="46" spans="1:7" s="99" customFormat="1" ht="15" customHeight="1" x14ac:dyDescent="0.2">
      <c r="A46" s="131"/>
      <c r="B46" s="132"/>
      <c r="C46" s="132"/>
      <c r="D46" s="390"/>
      <c r="E46" s="390"/>
      <c r="F46" s="390"/>
      <c r="G46" s="390"/>
    </row>
    <row r="47" spans="1:7" s="99" customFormat="1" ht="15" customHeight="1" x14ac:dyDescent="0.2">
      <c r="A47" s="133" t="s">
        <v>136</v>
      </c>
      <c r="B47" s="134"/>
      <c r="C47" s="135"/>
      <c r="D47" s="136"/>
      <c r="E47" s="136"/>
      <c r="F47" s="136"/>
      <c r="G47" s="136"/>
    </row>
    <row r="48" spans="1:7" s="99" customFormat="1" ht="15" customHeight="1" x14ac:dyDescent="0.2">
      <c r="A48" s="133" t="s">
        <v>137</v>
      </c>
      <c r="B48" s="134"/>
      <c r="C48" s="135"/>
      <c r="D48" s="356"/>
      <c r="E48" s="356"/>
      <c r="F48" s="356"/>
      <c r="G48" s="356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1496062992125984" right="0.27559055118110237" top="0.55118110236220474" bottom="0.39370078740157483" header="0.51181102362204722" footer="0.19685039370078741"/>
  <pageSetup paperSize="9" scale="95" firstPageNumber="46" orientation="portrait" useFirstPageNumber="1" r:id="rId1"/>
  <headerFooter alignWithMargins="0">
    <oddFooter>&amp;C- &amp;P 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31" zoomScaleNormal="130" workbookViewId="0">
      <selection activeCell="L19" sqref="L19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4.1640625" style="76" customWidth="1"/>
    <col min="4" max="4" width="19" style="76" customWidth="1"/>
    <col min="5" max="6" width="14.83203125" style="76" hidden="1" customWidth="1"/>
    <col min="7" max="7" width="10" style="76" hidden="1" customWidth="1"/>
    <col min="8" max="16384" width="9.33203125" style="76"/>
  </cols>
  <sheetData>
    <row r="1" spans="1:7" s="409" customFormat="1" ht="15" customHeight="1" x14ac:dyDescent="0.2">
      <c r="A1" s="323"/>
      <c r="B1" s="324"/>
      <c r="C1" s="325"/>
      <c r="D1" s="1552" t="s">
        <v>557</v>
      </c>
      <c r="E1" s="1552"/>
      <c r="F1" s="1552"/>
      <c r="G1" s="1552"/>
    </row>
    <row r="2" spans="1:7" s="410" customFormat="1" ht="30" customHeight="1" x14ac:dyDescent="0.2">
      <c r="A2" s="1554" t="s">
        <v>495</v>
      </c>
      <c r="B2" s="1554"/>
      <c r="C2" s="77" t="s">
        <v>558</v>
      </c>
      <c r="D2" s="1523" t="s">
        <v>1024</v>
      </c>
      <c r="E2" s="343"/>
      <c r="F2" s="343"/>
      <c r="G2" s="343"/>
    </row>
    <row r="3" spans="1:7" s="410" customFormat="1" ht="30" customHeight="1" x14ac:dyDescent="0.2">
      <c r="A3" s="1554" t="s">
        <v>122</v>
      </c>
      <c r="B3" s="1554"/>
      <c r="C3" s="80" t="s">
        <v>559</v>
      </c>
      <c r="D3" s="1524"/>
      <c r="E3" s="327"/>
      <c r="F3" s="327"/>
      <c r="G3" s="327"/>
    </row>
    <row r="4" spans="1:7" s="410" customFormat="1" ht="15" customHeight="1" x14ac:dyDescent="0.25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49.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>SUM(E9:E16)</f>
        <v>0</v>
      </c>
      <c r="F8" s="141">
        <f>SUM(F9:F16)</f>
        <v>0</v>
      </c>
      <c r="G8" s="141" t="e">
        <f>F8/E8*100</f>
        <v>#DIV/0!</v>
      </c>
    </row>
    <row r="9" spans="1:7" s="96" customFormat="1" ht="15" customHeight="1" x14ac:dyDescent="0.2">
      <c r="A9" s="102"/>
      <c r="B9" s="98" t="s">
        <v>50</v>
      </c>
      <c r="C9" s="4" t="s">
        <v>14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/>
      <c r="E10" s="142"/>
      <c r="F10" s="142"/>
      <c r="G10" s="142" t="e">
        <f>F10/E10*100</f>
        <v>#DIV/0!</v>
      </c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/>
      <c r="E15" s="142"/>
      <c r="F15" s="142"/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/>
      <c r="E16" s="145"/>
      <c r="F16" s="145"/>
      <c r="G16" s="145"/>
    </row>
    <row r="17" spans="1:9" s="96" customFormat="1" ht="15" customHeight="1" x14ac:dyDescent="0.2">
      <c r="A17" s="93" t="s">
        <v>3</v>
      </c>
      <c r="B17" s="94"/>
      <c r="C17" s="95" t="s">
        <v>498</v>
      </c>
      <c r="D17" s="141">
        <f>SUM(D18:D21)</f>
        <v>0</v>
      </c>
      <c r="E17" s="141">
        <f>SUM(E18:E21)</f>
        <v>0</v>
      </c>
      <c r="F17" s="141">
        <f>SUM(F18:F21)</f>
        <v>0</v>
      </c>
      <c r="G17" s="141" t="e">
        <f>F17/E17*100</f>
        <v>#DIV/0!</v>
      </c>
    </row>
    <row r="18" spans="1:9" s="99" customFormat="1" ht="15" customHeight="1" x14ac:dyDescent="0.2">
      <c r="A18" s="97"/>
      <c r="B18" s="98" t="s">
        <v>4</v>
      </c>
      <c r="C18" s="7" t="s">
        <v>499</v>
      </c>
      <c r="D18" s="142"/>
      <c r="E18" s="142"/>
      <c r="F18" s="142"/>
      <c r="G18" s="142" t="e">
        <f>F18/E18*100</f>
        <v>#DIV/0!</v>
      </c>
    </row>
    <row r="19" spans="1:9" s="99" customFormat="1" ht="15" customHeight="1" x14ac:dyDescent="0.2">
      <c r="A19" s="97"/>
      <c r="B19" s="98" t="s">
        <v>6</v>
      </c>
      <c r="C19" s="3" t="s">
        <v>500</v>
      </c>
      <c r="D19" s="142">
        <v>0</v>
      </c>
      <c r="E19" s="142">
        <v>0</v>
      </c>
      <c r="F19" s="142">
        <v>0</v>
      </c>
      <c r="G19" s="142"/>
    </row>
    <row r="20" spans="1:9" s="99" customFormat="1" ht="15" customHeight="1" x14ac:dyDescent="0.2">
      <c r="A20" s="97"/>
      <c r="B20" s="98" t="s">
        <v>7</v>
      </c>
      <c r="C20" s="3" t="s">
        <v>501</v>
      </c>
      <c r="D20" s="142">
        <v>0</v>
      </c>
      <c r="E20" s="142">
        <v>0</v>
      </c>
      <c r="F20" s="142">
        <v>0</v>
      </c>
      <c r="G20" s="142"/>
    </row>
    <row r="21" spans="1:9" s="99" customFormat="1" ht="15" customHeight="1" x14ac:dyDescent="0.2">
      <c r="A21" s="97"/>
      <c r="B21" s="98" t="s">
        <v>8</v>
      </c>
      <c r="C21" s="3" t="s">
        <v>502</v>
      </c>
      <c r="D21" s="142">
        <v>0</v>
      </c>
      <c r="E21" s="142">
        <v>0</v>
      </c>
      <c r="F21" s="142">
        <v>0</v>
      </c>
      <c r="G21" s="142"/>
    </row>
    <row r="22" spans="1:9" s="99" customFormat="1" ht="15" customHeight="1" x14ac:dyDescent="0.2">
      <c r="A22" s="93" t="s">
        <v>12</v>
      </c>
      <c r="B22" s="2"/>
      <c r="C22" s="2" t="s">
        <v>503</v>
      </c>
      <c r="D22" s="119">
        <v>0</v>
      </c>
      <c r="E22" s="119">
        <v>0</v>
      </c>
      <c r="F22" s="119">
        <v>0</v>
      </c>
      <c r="G22" s="119"/>
    </row>
    <row r="23" spans="1:9" s="96" customFormat="1" ht="15" customHeight="1" x14ac:dyDescent="0.2">
      <c r="A23" s="93" t="s">
        <v>68</v>
      </c>
      <c r="B23" s="94"/>
      <c r="C23" s="2" t="s">
        <v>539</v>
      </c>
      <c r="D23" s="119">
        <v>0</v>
      </c>
      <c r="E23" s="119">
        <v>0</v>
      </c>
      <c r="F23" s="119">
        <v>0</v>
      </c>
      <c r="G23" s="119"/>
    </row>
    <row r="24" spans="1:9" s="96" customFormat="1" ht="15" customHeight="1" x14ac:dyDescent="0.2">
      <c r="A24" s="93" t="s">
        <v>27</v>
      </c>
      <c r="B24" s="115"/>
      <c r="C24" s="2" t="s">
        <v>540</v>
      </c>
      <c r="D24" s="148">
        <f>+D25+D26</f>
        <v>0</v>
      </c>
      <c r="E24" s="148">
        <f>+E25+E26</f>
        <v>0</v>
      </c>
      <c r="F24" s="148">
        <f>+F25+F26</f>
        <v>0</v>
      </c>
      <c r="G24" s="148"/>
    </row>
    <row r="25" spans="1:9" s="96" customFormat="1" ht="15" customHeight="1" x14ac:dyDescent="0.2">
      <c r="A25" s="102"/>
      <c r="B25" s="108" t="s">
        <v>28</v>
      </c>
      <c r="C25" s="4" t="s">
        <v>507</v>
      </c>
      <c r="D25" s="149">
        <v>0</v>
      </c>
      <c r="E25" s="149">
        <v>0</v>
      </c>
      <c r="F25" s="149">
        <v>0</v>
      </c>
      <c r="G25" s="149"/>
    </row>
    <row r="26" spans="1:9" s="96" customFormat="1" ht="15" customHeight="1" x14ac:dyDescent="0.2">
      <c r="A26" s="111"/>
      <c r="B26" s="112" t="s">
        <v>29</v>
      </c>
      <c r="C26" s="6" t="s">
        <v>508</v>
      </c>
      <c r="D26" s="146">
        <v>0</v>
      </c>
      <c r="E26" s="146">
        <v>0</v>
      </c>
      <c r="F26" s="146">
        <v>0</v>
      </c>
      <c r="G26" s="146"/>
    </row>
    <row r="27" spans="1:9" s="99" customFormat="1" ht="15" customHeight="1" x14ac:dyDescent="0.25">
      <c r="A27" s="116" t="s">
        <v>32</v>
      </c>
      <c r="B27" s="117"/>
      <c r="C27" s="2" t="s">
        <v>541</v>
      </c>
      <c r="D27" s="119"/>
      <c r="E27" s="119"/>
      <c r="F27" s="119"/>
      <c r="G27" s="119" t="e">
        <f>F27/E27*100</f>
        <v>#DIV/0!</v>
      </c>
    </row>
    <row r="28" spans="1:9" s="99" customFormat="1" ht="15" customHeight="1" x14ac:dyDescent="0.25">
      <c r="A28" s="116"/>
      <c r="B28" s="117"/>
      <c r="C28" s="2" t="s">
        <v>542</v>
      </c>
      <c r="D28" s="119"/>
      <c r="E28" s="119"/>
      <c r="F28" s="119"/>
      <c r="G28" s="119"/>
    </row>
    <row r="29" spans="1:9" s="99" customFormat="1" ht="15" customHeight="1" x14ac:dyDescent="0.2">
      <c r="A29" s="150" t="s">
        <v>74</v>
      </c>
      <c r="B29" s="151"/>
      <c r="C29" s="354" t="s">
        <v>543</v>
      </c>
      <c r="D29" s="152">
        <f>SUM(D8,D17,D22,D23,D24,D27)</f>
        <v>0</v>
      </c>
      <c r="E29" s="152">
        <f>SUM(E8,E17,E22,E23,E24,E27,E28)</f>
        <v>0</v>
      </c>
      <c r="F29" s="152">
        <f>SUM(F8,F17,F22,F23,F24,F27,F28)</f>
        <v>0</v>
      </c>
      <c r="G29" s="152" t="e">
        <f>F29/E29*100</f>
        <v>#DIV/0!</v>
      </c>
      <c r="I29" s="110"/>
    </row>
    <row r="30" spans="1:9" s="99" customFormat="1" ht="15" customHeight="1" x14ac:dyDescent="0.2">
      <c r="A30" s="336"/>
      <c r="B30" s="336"/>
      <c r="C30" s="355"/>
      <c r="D30" s="388"/>
      <c r="E30" s="388"/>
      <c r="F30" s="388"/>
      <c r="G30" s="388"/>
    </row>
    <row r="31" spans="1:9" s="411" customFormat="1" ht="15" customHeight="1" x14ac:dyDescent="0.2">
      <c r="A31" s="150"/>
      <c r="B31" s="151"/>
      <c r="C31" s="387" t="s">
        <v>82</v>
      </c>
      <c r="D31" s="152"/>
      <c r="E31" s="152"/>
      <c r="F31" s="152"/>
      <c r="G31" s="152"/>
    </row>
    <row r="32" spans="1:9" s="96" customFormat="1" ht="15" customHeight="1" x14ac:dyDescent="0.2">
      <c r="A32" s="93" t="s">
        <v>2</v>
      </c>
      <c r="B32" s="2"/>
      <c r="C32" s="10" t="s">
        <v>49</v>
      </c>
      <c r="D32" s="141">
        <f>SUM(D33:D37)</f>
        <v>0</v>
      </c>
      <c r="E32" s="141">
        <f>SUM(E33:E37)</f>
        <v>0</v>
      </c>
      <c r="F32" s="141">
        <f>SUM(F33:F37)</f>
        <v>0</v>
      </c>
      <c r="G32" s="141" t="e">
        <f>F32/E32*100</f>
        <v>#DIV/0!</v>
      </c>
    </row>
    <row r="33" spans="1:7" s="99" customFormat="1" ht="15" customHeight="1" x14ac:dyDescent="0.2">
      <c r="A33" s="113"/>
      <c r="B33" s="124" t="s">
        <v>50</v>
      </c>
      <c r="C33" s="7" t="s">
        <v>51</v>
      </c>
      <c r="D33" s="147"/>
      <c r="E33" s="147"/>
      <c r="F33" s="147"/>
      <c r="G33" s="147" t="e">
        <f>F33/E33*100</f>
        <v>#DIV/0!</v>
      </c>
    </row>
    <row r="34" spans="1:7" s="99" customFormat="1" ht="15" customHeight="1" x14ac:dyDescent="0.2">
      <c r="A34" s="97"/>
      <c r="B34" s="109" t="s">
        <v>52</v>
      </c>
      <c r="C34" s="3" t="s">
        <v>53</v>
      </c>
      <c r="D34" s="142"/>
      <c r="E34" s="142"/>
      <c r="F34" s="142"/>
      <c r="G34" s="142" t="e">
        <f>F34/E34*100</f>
        <v>#DIV/0!</v>
      </c>
    </row>
    <row r="35" spans="1:7" s="99" customFormat="1" ht="15" customHeight="1" x14ac:dyDescent="0.2">
      <c r="A35" s="97"/>
      <c r="B35" s="109" t="s">
        <v>54</v>
      </c>
      <c r="C35" s="3" t="s">
        <v>55</v>
      </c>
      <c r="D35" s="142"/>
      <c r="E35" s="142"/>
      <c r="F35" s="142"/>
      <c r="G35" s="142" t="e">
        <f>F35/E35*100</f>
        <v>#DIV/0!</v>
      </c>
    </row>
    <row r="36" spans="1:7" s="99" customFormat="1" ht="15" customHeight="1" x14ac:dyDescent="0.2">
      <c r="A36" s="97"/>
      <c r="B36" s="109" t="s">
        <v>56</v>
      </c>
      <c r="C36" s="3" t="s">
        <v>57</v>
      </c>
      <c r="D36" s="142"/>
      <c r="E36" s="142"/>
      <c r="F36" s="142"/>
      <c r="G36" s="142"/>
    </row>
    <row r="37" spans="1:7" s="99" customFormat="1" ht="15" customHeight="1" x14ac:dyDescent="0.2">
      <c r="A37" s="97"/>
      <c r="B37" s="109" t="s">
        <v>58</v>
      </c>
      <c r="C37" s="3" t="s">
        <v>59</v>
      </c>
      <c r="D37" s="142">
        <v>0</v>
      </c>
      <c r="E37" s="142">
        <v>0</v>
      </c>
      <c r="F37" s="142">
        <v>0</v>
      </c>
      <c r="G37" s="142"/>
    </row>
    <row r="38" spans="1:7" s="99" customFormat="1" ht="15" customHeight="1" x14ac:dyDescent="0.2">
      <c r="A38" s="93" t="s">
        <v>3</v>
      </c>
      <c r="B38" s="2"/>
      <c r="C38" s="10" t="s">
        <v>519</v>
      </c>
      <c r="D38" s="141">
        <f>SUM(D39:D42)</f>
        <v>0</v>
      </c>
      <c r="E38" s="141">
        <f>SUM(E39:E42)</f>
        <v>0</v>
      </c>
      <c r="F38" s="141">
        <f>SUM(F39:F42)</f>
        <v>0</v>
      </c>
      <c r="G38" s="141"/>
    </row>
    <row r="39" spans="1:7" s="96" customFormat="1" ht="15" customHeight="1" x14ac:dyDescent="0.2">
      <c r="A39" s="113"/>
      <c r="B39" s="124" t="s">
        <v>4</v>
      </c>
      <c r="C39" s="7" t="s">
        <v>512</v>
      </c>
      <c r="D39" s="147">
        <v>0</v>
      </c>
      <c r="E39" s="147">
        <v>0</v>
      </c>
      <c r="F39" s="147">
        <v>0</v>
      </c>
      <c r="G39" s="147"/>
    </row>
    <row r="40" spans="1:7" s="99" customFormat="1" ht="15" customHeight="1" x14ac:dyDescent="0.2">
      <c r="A40" s="97"/>
      <c r="B40" s="109" t="s">
        <v>6</v>
      </c>
      <c r="C40" s="3" t="s">
        <v>64</v>
      </c>
      <c r="D40" s="142">
        <v>0</v>
      </c>
      <c r="E40" s="142">
        <v>0</v>
      </c>
      <c r="F40" s="142">
        <v>0</v>
      </c>
      <c r="G40" s="142"/>
    </row>
    <row r="41" spans="1:7" s="99" customFormat="1" ht="30" customHeight="1" x14ac:dyDescent="0.2">
      <c r="A41" s="97"/>
      <c r="B41" s="109" t="s">
        <v>9</v>
      </c>
      <c r="C41" s="3" t="s">
        <v>65</v>
      </c>
      <c r="D41" s="142">
        <v>0</v>
      </c>
      <c r="E41" s="142">
        <v>0</v>
      </c>
      <c r="F41" s="142">
        <v>0</v>
      </c>
      <c r="G41" s="142"/>
    </row>
    <row r="42" spans="1:7" s="99" customFormat="1" ht="15" customHeight="1" x14ac:dyDescent="0.2">
      <c r="A42" s="97"/>
      <c r="B42" s="109" t="s">
        <v>11</v>
      </c>
      <c r="C42" s="3" t="s">
        <v>513</v>
      </c>
      <c r="D42" s="142">
        <v>0</v>
      </c>
      <c r="E42" s="142">
        <v>0</v>
      </c>
      <c r="F42" s="142">
        <v>0</v>
      </c>
      <c r="G42" s="142"/>
    </row>
    <row r="43" spans="1:7" s="99" customFormat="1" ht="15" customHeight="1" x14ac:dyDescent="0.2">
      <c r="A43" s="93" t="s">
        <v>12</v>
      </c>
      <c r="B43" s="2"/>
      <c r="C43" s="10" t="s">
        <v>514</v>
      </c>
      <c r="D43" s="119">
        <v>0</v>
      </c>
      <c r="E43" s="119">
        <v>0</v>
      </c>
      <c r="F43" s="119">
        <v>0</v>
      </c>
      <c r="G43" s="119"/>
    </row>
    <row r="44" spans="1:7" s="99" customFormat="1" ht="15" customHeight="1" x14ac:dyDescent="0.2">
      <c r="A44" s="93"/>
      <c r="B44" s="2"/>
      <c r="C44" s="10" t="s">
        <v>515</v>
      </c>
      <c r="D44" s="119"/>
      <c r="E44" s="119"/>
      <c r="F44" s="119"/>
      <c r="G44" s="119"/>
    </row>
    <row r="45" spans="1:7" s="99" customFormat="1" ht="15" customHeight="1" x14ac:dyDescent="0.2">
      <c r="A45" s="150" t="s">
        <v>68</v>
      </c>
      <c r="B45" s="151"/>
      <c r="C45" s="354" t="s">
        <v>516</v>
      </c>
      <c r="D45" s="152">
        <f>+D32+D38+D43</f>
        <v>0</v>
      </c>
      <c r="E45" s="152">
        <f>+E32+E38+E43+E44</f>
        <v>0</v>
      </c>
      <c r="F45" s="152">
        <f>+F32+F38+F43+F44</f>
        <v>0</v>
      </c>
      <c r="G45" s="152" t="e">
        <f>F45/E45*100</f>
        <v>#DIV/0!</v>
      </c>
    </row>
    <row r="46" spans="1:7" s="99" customFormat="1" ht="15" customHeight="1" x14ac:dyDescent="0.2">
      <c r="A46" s="131"/>
      <c r="B46" s="132"/>
      <c r="C46" s="132"/>
      <c r="D46" s="390"/>
      <c r="E46" s="390"/>
      <c r="F46" s="390"/>
      <c r="G46" s="390"/>
    </row>
    <row r="47" spans="1:7" s="99" customFormat="1" ht="15" customHeight="1" x14ac:dyDescent="0.2">
      <c r="A47" s="133" t="s">
        <v>136</v>
      </c>
      <c r="B47" s="134"/>
      <c r="C47" s="135"/>
      <c r="D47" s="136"/>
      <c r="E47" s="136"/>
      <c r="F47" s="136"/>
      <c r="G47" s="136"/>
    </row>
    <row r="48" spans="1:7" s="99" customFormat="1" ht="15" customHeight="1" x14ac:dyDescent="0.2">
      <c r="A48" s="133" t="s">
        <v>137</v>
      </c>
      <c r="B48" s="134"/>
      <c r="C48" s="135"/>
      <c r="D48" s="356"/>
      <c r="E48" s="356"/>
      <c r="F48" s="356"/>
      <c r="G48" s="356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5433070866141736" right="0.27559055118110237" top="0.31496062992125984" bottom="0.32" header="0.15748031496062992" footer="0.15748031496062992"/>
  <pageSetup paperSize="9" firstPageNumber="47" orientation="portrait" useFirstPageNumber="1" r:id="rId1"/>
  <headerFooter alignWithMargins="0">
    <oddFooter>&amp;C- &amp;P 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A25" zoomScaleNormal="130" workbookViewId="0">
      <selection activeCell="J52" sqref="J52"/>
    </sheetView>
  </sheetViews>
  <sheetFormatPr defaultRowHeight="12.75" x14ac:dyDescent="0.2"/>
  <cols>
    <col min="1" max="1" width="6.5" style="75" customWidth="1"/>
    <col min="2" max="2" width="9.6640625" style="76" customWidth="1"/>
    <col min="3" max="3" width="65.83203125" style="76" customWidth="1"/>
    <col min="4" max="4" width="14.1640625" style="76" customWidth="1"/>
    <col min="5" max="6" width="13.33203125" style="76" customWidth="1"/>
    <col min="7" max="7" width="9.83203125" style="76" customWidth="1"/>
    <col min="8" max="16384" width="9.33203125" style="76"/>
  </cols>
  <sheetData>
    <row r="1" spans="1:7" s="409" customFormat="1" ht="15" customHeight="1" thickBot="1" x14ac:dyDescent="0.25">
      <c r="A1" s="323"/>
      <c r="B1" s="324"/>
      <c r="C1" s="325"/>
      <c r="D1" s="1552" t="s">
        <v>1124</v>
      </c>
      <c r="E1" s="1552"/>
      <c r="F1" s="1552"/>
      <c r="G1" s="1552"/>
    </row>
    <row r="2" spans="1:7" s="410" customFormat="1" ht="30" customHeight="1" thickBot="1" x14ac:dyDescent="0.25">
      <c r="A2" s="1554" t="s">
        <v>495</v>
      </c>
      <c r="B2" s="1554"/>
      <c r="C2" s="77" t="s">
        <v>570</v>
      </c>
      <c r="D2" s="1523" t="s">
        <v>1024</v>
      </c>
      <c r="E2" s="343"/>
      <c r="F2" s="343"/>
      <c r="G2" s="343"/>
    </row>
    <row r="3" spans="1:7" s="410" customFormat="1" ht="30" customHeight="1" thickBot="1" x14ac:dyDescent="0.25">
      <c r="A3" s="1554" t="s">
        <v>122</v>
      </c>
      <c r="B3" s="1554"/>
      <c r="C3" s="80" t="s">
        <v>571</v>
      </c>
      <c r="D3" s="1524"/>
      <c r="E3" s="327"/>
      <c r="F3" s="327"/>
      <c r="G3" s="327"/>
    </row>
    <row r="4" spans="1:7" s="410" customFormat="1" ht="15" customHeight="1" thickBot="1" x14ac:dyDescent="0.3">
      <c r="A4" s="81"/>
      <c r="B4" s="81"/>
      <c r="C4" s="81"/>
      <c r="D4" s="1527" t="s">
        <v>1025</v>
      </c>
      <c r="E4" s="1527"/>
      <c r="F4" s="1527"/>
      <c r="G4" s="82" t="s">
        <v>79</v>
      </c>
    </row>
    <row r="5" spans="1:7" s="99" customFormat="1" ht="39" customHeight="1" thickBot="1" x14ac:dyDescent="0.25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411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 t="s">
        <v>27</v>
      </c>
      <c r="F6" s="88" t="s">
        <v>32</v>
      </c>
      <c r="G6" s="88" t="s">
        <v>74</v>
      </c>
    </row>
    <row r="7" spans="1:7" s="411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 t="shared" ref="E8:F8" si="0">SUM(E9:E16)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4" t="s">
        <v>14</v>
      </c>
      <c r="D9" s="144">
        <v>0</v>
      </c>
      <c r="E9" s="144">
        <v>0</v>
      </c>
      <c r="F9" s="144">
        <v>0</v>
      </c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>
        <v>0</v>
      </c>
      <c r="E10" s="142">
        <v>0</v>
      </c>
      <c r="F10" s="142">
        <v>0</v>
      </c>
      <c r="G10" s="142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>
        <v>0</v>
      </c>
      <c r="E11" s="142">
        <v>0</v>
      </c>
      <c r="F11" s="142">
        <v>0</v>
      </c>
      <c r="G11" s="142"/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>
        <v>0</v>
      </c>
      <c r="E12" s="142">
        <v>0</v>
      </c>
      <c r="F12" s="142">
        <v>0</v>
      </c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>
        <v>0</v>
      </c>
      <c r="E13" s="142">
        <v>0</v>
      </c>
      <c r="F13" s="142">
        <v>0</v>
      </c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>
        <v>0</v>
      </c>
      <c r="E14" s="143">
        <v>0</v>
      </c>
      <c r="F14" s="143">
        <v>0</v>
      </c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>
        <v>0</v>
      </c>
      <c r="E15" s="142">
        <v>0</v>
      </c>
      <c r="F15" s="142"/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>
        <v>0</v>
      </c>
      <c r="E16" s="145">
        <v>0</v>
      </c>
      <c r="F16" s="145"/>
      <c r="G16" s="145"/>
    </row>
    <row r="17" spans="1:11" s="96" customFormat="1" ht="15" customHeight="1" x14ac:dyDescent="0.2">
      <c r="A17" s="93" t="s">
        <v>3</v>
      </c>
      <c r="B17" s="94"/>
      <c r="C17" s="120" t="s">
        <v>1222</v>
      </c>
      <c r="D17" s="141">
        <f>SUM(D18:D23)</f>
        <v>75522</v>
      </c>
      <c r="E17" s="141">
        <f t="shared" ref="E17:F17" si="1">SUM(E18:E23)</f>
        <v>77150</v>
      </c>
      <c r="F17" s="141">
        <f t="shared" si="1"/>
        <v>0</v>
      </c>
      <c r="G17" s="141">
        <f>F17/E17*100</f>
        <v>0</v>
      </c>
    </row>
    <row r="18" spans="1:11" s="99" customFormat="1" ht="15" customHeight="1" x14ac:dyDescent="0.2">
      <c r="A18" s="97"/>
      <c r="B18" s="98" t="s">
        <v>4</v>
      </c>
      <c r="C18" s="7" t="s">
        <v>1223</v>
      </c>
      <c r="D18" s="142">
        <f>SUM('....'!E9+'....'!E14+'....'!E58+'....'!E63)</f>
        <v>72598</v>
      </c>
      <c r="E18" s="142">
        <v>74226</v>
      </c>
      <c r="F18" s="142"/>
      <c r="G18" s="142">
        <f>F18/E18*100</f>
        <v>0</v>
      </c>
    </row>
    <row r="19" spans="1:11" s="99" customFormat="1" ht="15" customHeight="1" x14ac:dyDescent="0.2">
      <c r="A19" s="97"/>
      <c r="B19" s="98" t="s">
        <v>143</v>
      </c>
      <c r="C19" s="3" t="s">
        <v>1224</v>
      </c>
      <c r="D19" s="142"/>
      <c r="E19" s="142"/>
      <c r="F19" s="142"/>
      <c r="G19" s="142"/>
      <c r="H19" s="404"/>
      <c r="I19" s="404"/>
      <c r="J19" s="110"/>
      <c r="K19" s="110"/>
    </row>
    <row r="20" spans="1:11" s="99" customFormat="1" ht="15" customHeight="1" x14ac:dyDescent="0.2">
      <c r="A20" s="963"/>
      <c r="B20" s="98" t="s">
        <v>144</v>
      </c>
      <c r="C20" s="3" t="s">
        <v>499</v>
      </c>
      <c r="D20" s="964"/>
      <c r="E20" s="964"/>
      <c r="F20" s="964"/>
      <c r="G20" s="964"/>
      <c r="H20" s="404"/>
      <c r="I20" s="404"/>
      <c r="J20" s="110"/>
      <c r="K20" s="110"/>
    </row>
    <row r="21" spans="1:11" s="99" customFormat="1" ht="15" customHeight="1" x14ac:dyDescent="0.2">
      <c r="A21" s="97"/>
      <c r="B21" s="98" t="s">
        <v>145</v>
      </c>
      <c r="C21" s="3" t="s">
        <v>500</v>
      </c>
      <c r="D21" s="142">
        <v>0</v>
      </c>
      <c r="E21" s="142">
        <v>0</v>
      </c>
      <c r="F21" s="142">
        <v>0</v>
      </c>
      <c r="G21" s="142"/>
    </row>
    <row r="22" spans="1:11" s="99" customFormat="1" ht="15" customHeight="1" x14ac:dyDescent="0.2">
      <c r="A22" s="97"/>
      <c r="B22" s="98" t="s">
        <v>146</v>
      </c>
      <c r="C22" s="3" t="s">
        <v>501</v>
      </c>
      <c r="D22" s="142">
        <v>0</v>
      </c>
      <c r="E22" s="142">
        <v>0</v>
      </c>
      <c r="F22" s="142">
        <v>0</v>
      </c>
      <c r="G22" s="142"/>
    </row>
    <row r="23" spans="1:11" s="99" customFormat="1" ht="15" customHeight="1" thickBot="1" x14ac:dyDescent="0.25">
      <c r="A23" s="97"/>
      <c r="B23" s="98" t="s">
        <v>147</v>
      </c>
      <c r="C23" s="3" t="s">
        <v>502</v>
      </c>
      <c r="D23" s="142">
        <v>2924</v>
      </c>
      <c r="E23" s="142">
        <v>2924</v>
      </c>
      <c r="F23" s="142"/>
      <c r="G23" s="142">
        <f>F23/E23*100</f>
        <v>0</v>
      </c>
    </row>
    <row r="24" spans="1:11" s="99" customFormat="1" ht="15" customHeight="1" x14ac:dyDescent="0.2">
      <c r="A24" s="93" t="s">
        <v>12</v>
      </c>
      <c r="B24" s="2"/>
      <c r="C24" s="2" t="s">
        <v>503</v>
      </c>
      <c r="D24" s="119">
        <v>0</v>
      </c>
      <c r="E24" s="119">
        <v>0</v>
      </c>
      <c r="F24" s="119">
        <v>0</v>
      </c>
      <c r="G24" s="119"/>
    </row>
    <row r="25" spans="1:11" s="96" customFormat="1" ht="15" customHeight="1" x14ac:dyDescent="0.2">
      <c r="A25" s="93" t="s">
        <v>68</v>
      </c>
      <c r="B25" s="94"/>
      <c r="C25" s="2" t="s">
        <v>539</v>
      </c>
      <c r="D25" s="119">
        <v>0</v>
      </c>
      <c r="E25" s="119">
        <v>0</v>
      </c>
      <c r="F25" s="119">
        <v>0</v>
      </c>
      <c r="G25" s="119"/>
    </row>
    <row r="26" spans="1:11" s="96" customFormat="1" ht="15" customHeight="1" x14ac:dyDescent="0.2">
      <c r="A26" s="93" t="s">
        <v>27</v>
      </c>
      <c r="B26" s="115"/>
      <c r="C26" s="2" t="s">
        <v>540</v>
      </c>
      <c r="D26" s="148">
        <f>+D27+D28</f>
        <v>0</v>
      </c>
      <c r="E26" s="148">
        <f t="shared" ref="E26:F26" si="2">+E27+E28</f>
        <v>1468</v>
      </c>
      <c r="F26" s="148">
        <f t="shared" si="2"/>
        <v>0</v>
      </c>
      <c r="G26" s="148"/>
    </row>
    <row r="27" spans="1:11" s="96" customFormat="1" ht="15" customHeight="1" x14ac:dyDescent="0.2">
      <c r="A27" s="102"/>
      <c r="B27" s="108" t="s">
        <v>28</v>
      </c>
      <c r="C27" s="4" t="s">
        <v>507</v>
      </c>
      <c r="D27" s="149">
        <v>0</v>
      </c>
      <c r="E27" s="149">
        <v>1468</v>
      </c>
      <c r="F27" s="149"/>
      <c r="G27" s="149"/>
    </row>
    <row r="28" spans="1:11" s="96" customFormat="1" ht="15" customHeight="1" x14ac:dyDescent="0.2">
      <c r="A28" s="111"/>
      <c r="B28" s="112" t="s">
        <v>29</v>
      </c>
      <c r="C28" s="6" t="s">
        <v>508</v>
      </c>
      <c r="D28" s="146">
        <v>0</v>
      </c>
      <c r="E28" s="146">
        <v>0</v>
      </c>
      <c r="F28" s="146">
        <v>0</v>
      </c>
      <c r="G28" s="146"/>
    </row>
    <row r="29" spans="1:11" s="99" customFormat="1" ht="15" customHeight="1" x14ac:dyDescent="0.25">
      <c r="A29" s="116" t="s">
        <v>32</v>
      </c>
      <c r="B29" s="117"/>
      <c r="C29" s="2" t="s">
        <v>541</v>
      </c>
      <c r="D29" s="119">
        <v>18181</v>
      </c>
      <c r="E29" s="119">
        <v>19026</v>
      </c>
      <c r="F29" s="119"/>
      <c r="G29" s="119">
        <f>F29/E29*100</f>
        <v>0</v>
      </c>
      <c r="J29" s="110">
        <f>SUM(D47-D31)</f>
        <v>0</v>
      </c>
      <c r="K29" s="99">
        <v>68477</v>
      </c>
    </row>
    <row r="30" spans="1:11" s="99" customFormat="1" ht="15" customHeight="1" x14ac:dyDescent="0.25">
      <c r="A30" s="116"/>
      <c r="B30" s="117"/>
      <c r="C30" s="2" t="s">
        <v>542</v>
      </c>
      <c r="D30" s="119"/>
      <c r="E30" s="119"/>
      <c r="F30" s="119"/>
      <c r="G30" s="119"/>
      <c r="K30" s="110">
        <f>SUM(F31-K29)</f>
        <v>-68477</v>
      </c>
    </row>
    <row r="31" spans="1:11" s="99" customFormat="1" ht="15" customHeight="1" x14ac:dyDescent="0.2">
      <c r="A31" s="150" t="s">
        <v>74</v>
      </c>
      <c r="B31" s="151"/>
      <c r="C31" s="354" t="s">
        <v>543</v>
      </c>
      <c r="D31" s="152">
        <f>SUM(D8,D17,D24,D25,D26,D29)</f>
        <v>93703</v>
      </c>
      <c r="E31" s="152">
        <f t="shared" ref="E31:F31" si="3">SUM(E8,E17,E24,E25,E26,E29)</f>
        <v>97644</v>
      </c>
      <c r="F31" s="152">
        <f t="shared" si="3"/>
        <v>0</v>
      </c>
      <c r="G31" s="152">
        <f>F31/E31*100</f>
        <v>0</v>
      </c>
      <c r="I31" s="110"/>
    </row>
    <row r="32" spans="1:11" s="99" customFormat="1" ht="15" customHeight="1" x14ac:dyDescent="0.2">
      <c r="A32" s="336"/>
      <c r="B32" s="336"/>
      <c r="C32" s="355"/>
      <c r="D32" s="388"/>
      <c r="E32" s="388"/>
      <c r="F32" s="388"/>
      <c r="G32" s="388"/>
    </row>
    <row r="33" spans="1:7" s="411" customFormat="1" ht="15" customHeight="1" x14ac:dyDescent="0.2">
      <c r="A33" s="150"/>
      <c r="B33" s="151"/>
      <c r="C33" s="387" t="s">
        <v>82</v>
      </c>
      <c r="D33" s="152"/>
      <c r="E33" s="152"/>
      <c r="F33" s="152"/>
      <c r="G33" s="152"/>
    </row>
    <row r="34" spans="1:7" s="96" customFormat="1" ht="15" customHeight="1" x14ac:dyDescent="0.2">
      <c r="A34" s="93" t="s">
        <v>2</v>
      </c>
      <c r="B34" s="2"/>
      <c r="C34" s="10" t="s">
        <v>49</v>
      </c>
      <c r="D34" s="141">
        <f>SUM(D35:D39)</f>
        <v>93703</v>
      </c>
      <c r="E34" s="141">
        <f t="shared" ref="E34:F34" si="4">SUM(E35:E39)</f>
        <v>97644</v>
      </c>
      <c r="F34" s="141">
        <f t="shared" si="4"/>
        <v>0</v>
      </c>
      <c r="G34" s="141">
        <f>F34/E34*100</f>
        <v>0</v>
      </c>
    </row>
    <row r="35" spans="1:7" s="99" customFormat="1" ht="15" customHeight="1" x14ac:dyDescent="0.2">
      <c r="A35" s="113"/>
      <c r="B35" s="124" t="s">
        <v>50</v>
      </c>
      <c r="C35" s="7" t="s">
        <v>51</v>
      </c>
      <c r="D35" s="147">
        <v>61286</v>
      </c>
      <c r="E35" s="147">
        <v>63233</v>
      </c>
      <c r="F35" s="147"/>
      <c r="G35" s="147">
        <f>F35/E35*100</f>
        <v>0</v>
      </c>
    </row>
    <row r="36" spans="1:7" s="99" customFormat="1" ht="15" customHeight="1" x14ac:dyDescent="0.2">
      <c r="A36" s="97"/>
      <c r="B36" s="109" t="s">
        <v>52</v>
      </c>
      <c r="C36" s="3" t="s">
        <v>53</v>
      </c>
      <c r="D36" s="142">
        <v>16138</v>
      </c>
      <c r="E36" s="142">
        <v>16664</v>
      </c>
      <c r="F36" s="142"/>
      <c r="G36" s="142">
        <f>F36/E36*100</f>
        <v>0</v>
      </c>
    </row>
    <row r="37" spans="1:7" s="99" customFormat="1" ht="15" customHeight="1" x14ac:dyDescent="0.2">
      <c r="A37" s="97"/>
      <c r="B37" s="109" t="s">
        <v>54</v>
      </c>
      <c r="C37" s="3" t="s">
        <v>55</v>
      </c>
      <c r="D37" s="142">
        <v>12132</v>
      </c>
      <c r="E37" s="142">
        <v>13600</v>
      </c>
      <c r="F37" s="142"/>
      <c r="G37" s="142">
        <f>F37/E37*100</f>
        <v>0</v>
      </c>
    </row>
    <row r="38" spans="1:7" s="99" customFormat="1" ht="15" customHeight="1" x14ac:dyDescent="0.2">
      <c r="A38" s="97"/>
      <c r="B38" s="109" t="s">
        <v>56</v>
      </c>
      <c r="C38" s="3" t="s">
        <v>57</v>
      </c>
      <c r="D38" s="142"/>
      <c r="E38" s="142"/>
      <c r="F38" s="142"/>
      <c r="G38" s="142"/>
    </row>
    <row r="39" spans="1:7" s="99" customFormat="1" ht="15" customHeight="1" x14ac:dyDescent="0.2">
      <c r="A39" s="97"/>
      <c r="B39" s="109" t="s">
        <v>58</v>
      </c>
      <c r="C39" s="3" t="s">
        <v>59</v>
      </c>
      <c r="D39" s="142">
        <v>4147</v>
      </c>
      <c r="E39" s="142">
        <v>4147</v>
      </c>
      <c r="F39" s="142"/>
      <c r="G39" s="142">
        <f>F39/E39*100</f>
        <v>0</v>
      </c>
    </row>
    <row r="40" spans="1:7" s="99" customFormat="1" ht="15" customHeight="1" x14ac:dyDescent="0.2">
      <c r="A40" s="93" t="s">
        <v>3</v>
      </c>
      <c r="B40" s="2"/>
      <c r="C40" s="10" t="s">
        <v>519</v>
      </c>
      <c r="D40" s="141">
        <f>SUM(D41:D44)</f>
        <v>0</v>
      </c>
      <c r="E40" s="141">
        <f t="shared" ref="E40:F40" si="5">SUM(E41:E44)</f>
        <v>0</v>
      </c>
      <c r="F40" s="141">
        <f t="shared" si="5"/>
        <v>0</v>
      </c>
      <c r="G40" s="141" t="e">
        <f>F40/E40*100</f>
        <v>#DIV/0!</v>
      </c>
    </row>
    <row r="41" spans="1:7" s="96" customFormat="1" ht="15" customHeight="1" x14ac:dyDescent="0.2">
      <c r="A41" s="113"/>
      <c r="B41" s="124" t="s">
        <v>4</v>
      </c>
      <c r="C41" s="7" t="s">
        <v>512</v>
      </c>
      <c r="D41" s="147">
        <v>0</v>
      </c>
      <c r="E41" s="147">
        <v>0</v>
      </c>
      <c r="F41" s="147">
        <v>0</v>
      </c>
      <c r="G41" s="147" t="e">
        <f>F41/E41*100</f>
        <v>#DIV/0!</v>
      </c>
    </row>
    <row r="42" spans="1:7" s="99" customFormat="1" ht="15" customHeight="1" x14ac:dyDescent="0.2">
      <c r="A42" s="97"/>
      <c r="B42" s="109" t="s">
        <v>6</v>
      </c>
      <c r="C42" s="3" t="s">
        <v>64</v>
      </c>
      <c r="D42" s="142">
        <v>0</v>
      </c>
      <c r="E42" s="142">
        <v>0</v>
      </c>
      <c r="F42" s="142">
        <v>0</v>
      </c>
      <c r="G42" s="142"/>
    </row>
    <row r="43" spans="1:7" s="99" customFormat="1" ht="15" customHeight="1" x14ac:dyDescent="0.2">
      <c r="A43" s="97"/>
      <c r="B43" s="109" t="s">
        <v>9</v>
      </c>
      <c r="C43" s="3" t="s">
        <v>65</v>
      </c>
      <c r="D43" s="142">
        <v>0</v>
      </c>
      <c r="E43" s="142">
        <v>0</v>
      </c>
      <c r="F43" s="142">
        <v>0</v>
      </c>
      <c r="G43" s="142"/>
    </row>
    <row r="44" spans="1:7" s="99" customFormat="1" ht="15" customHeight="1" x14ac:dyDescent="0.2">
      <c r="A44" s="97"/>
      <c r="B44" s="109" t="s">
        <v>11</v>
      </c>
      <c r="C44" s="3" t="s">
        <v>513</v>
      </c>
      <c r="D44" s="142">
        <v>0</v>
      </c>
      <c r="E44" s="142">
        <v>0</v>
      </c>
      <c r="F44" s="142">
        <v>0</v>
      </c>
      <c r="G44" s="142"/>
    </row>
    <row r="45" spans="1:7" s="99" customFormat="1" ht="15" customHeight="1" x14ac:dyDescent="0.2">
      <c r="A45" s="93" t="s">
        <v>12</v>
      </c>
      <c r="B45" s="2"/>
      <c r="C45" s="10" t="s">
        <v>514</v>
      </c>
      <c r="D45" s="119">
        <v>0</v>
      </c>
      <c r="E45" s="119">
        <v>0</v>
      </c>
      <c r="F45" s="119">
        <v>0</v>
      </c>
      <c r="G45" s="119"/>
    </row>
    <row r="46" spans="1:7" s="99" customFormat="1" ht="15" customHeight="1" x14ac:dyDescent="0.2">
      <c r="A46" s="93"/>
      <c r="B46" s="2"/>
      <c r="C46" s="10" t="s">
        <v>515</v>
      </c>
      <c r="D46" s="119"/>
      <c r="E46" s="119"/>
      <c r="F46" s="119"/>
      <c r="G46" s="119"/>
    </row>
    <row r="47" spans="1:7" s="99" customFormat="1" ht="15" customHeight="1" x14ac:dyDescent="0.2">
      <c r="A47" s="150" t="s">
        <v>68</v>
      </c>
      <c r="B47" s="151"/>
      <c r="C47" s="354" t="s">
        <v>516</v>
      </c>
      <c r="D47" s="152">
        <f>+D34+D40+D45</f>
        <v>93703</v>
      </c>
      <c r="E47" s="152">
        <f t="shared" ref="E47" si="6">+E34+E40+E45</f>
        <v>97644</v>
      </c>
      <c r="F47" s="152">
        <f>+F34+F40+F45+F46</f>
        <v>0</v>
      </c>
      <c r="G47" s="152">
        <f>F47/E47*100</f>
        <v>0</v>
      </c>
    </row>
    <row r="48" spans="1:7" s="99" customFormat="1" ht="15" customHeight="1" x14ac:dyDescent="0.2">
      <c r="A48" s="131"/>
      <c r="B48" s="132"/>
      <c r="C48" s="132"/>
      <c r="D48" s="132"/>
      <c r="E48" s="132"/>
      <c r="F48" s="132"/>
      <c r="G48" s="132"/>
    </row>
    <row r="49" spans="1:7" s="99" customFormat="1" ht="15" customHeight="1" x14ac:dyDescent="0.2">
      <c r="A49" s="133" t="s">
        <v>136</v>
      </c>
      <c r="B49" s="134"/>
      <c r="C49" s="135"/>
      <c r="D49" s="136">
        <v>27.5</v>
      </c>
      <c r="E49" s="136">
        <v>27.5</v>
      </c>
      <c r="F49" s="136">
        <v>27.5</v>
      </c>
      <c r="G49" s="136"/>
    </row>
    <row r="50" spans="1:7" s="99" customFormat="1" ht="15" customHeight="1" x14ac:dyDescent="0.2">
      <c r="A50" s="133" t="s">
        <v>137</v>
      </c>
      <c r="B50" s="134"/>
      <c r="C50" s="135"/>
      <c r="D50" s="356"/>
      <c r="E50" s="356"/>
      <c r="F50" s="356"/>
      <c r="G50" s="356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9370078740157483" right="0.31496062992125984" top="0.31496062992125984" bottom="0.39370078740157483" header="0.15748031496062992" footer="0.15748031496062992"/>
  <pageSetup paperSize="9" scale="78" firstPageNumber="80" orientation="portrait" r:id="rId1"/>
  <headerFooter alignWithMargins="0">
    <oddFooter>&amp;C- &amp;P 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zoomScaleSheetLayoutView="100" workbookViewId="0">
      <selection activeCell="G99" sqref="G99"/>
    </sheetView>
  </sheetViews>
  <sheetFormatPr defaultRowHeight="14.25" x14ac:dyDescent="0.2"/>
  <cols>
    <col min="1" max="1" width="2.5" style="168" customWidth="1"/>
    <col min="2" max="2" width="3" style="168" customWidth="1"/>
    <col min="3" max="3" width="10.33203125" style="412" customWidth="1"/>
    <col min="4" max="4" width="51.83203125" style="168" customWidth="1"/>
    <col min="5" max="7" width="13.83203125" style="216" customWidth="1"/>
    <col min="8" max="8" width="9.1640625" style="216" customWidth="1"/>
    <col min="9" max="9" width="9.33203125" style="168"/>
    <col min="10" max="10" width="2.33203125" style="168" customWidth="1"/>
    <col min="11" max="11" width="10" style="168" customWidth="1"/>
    <col min="12" max="12" width="53.6640625" style="168" customWidth="1"/>
    <col min="13" max="16384" width="9.33203125" style="168"/>
  </cols>
  <sheetData>
    <row r="1" spans="1:8" ht="49.5" customHeight="1" x14ac:dyDescent="0.2">
      <c r="A1" s="1549" t="s">
        <v>150</v>
      </c>
      <c r="B1" s="1549"/>
      <c r="C1" s="1549"/>
      <c r="D1" s="224" t="s">
        <v>572</v>
      </c>
      <c r="E1" s="413" t="s">
        <v>1023</v>
      </c>
      <c r="F1" s="413" t="s">
        <v>1227</v>
      </c>
      <c r="G1" s="413" t="s">
        <v>1228</v>
      </c>
      <c r="H1" s="413" t="s">
        <v>1</v>
      </c>
    </row>
    <row r="2" spans="1:8" ht="18" customHeight="1" x14ac:dyDescent="0.25">
      <c r="A2" s="414" t="s">
        <v>573</v>
      </c>
      <c r="B2" s="415"/>
      <c r="C2" s="416"/>
      <c r="D2" s="1649" t="s">
        <v>574</v>
      </c>
      <c r="E2" s="1649"/>
      <c r="F2" s="418"/>
      <c r="G2" s="418"/>
      <c r="H2" s="418"/>
    </row>
    <row r="3" spans="1:8" ht="15" customHeight="1" x14ac:dyDescent="0.25">
      <c r="A3" s="419"/>
      <c r="B3" s="420"/>
      <c r="C3" s="173"/>
      <c r="D3" s="421" t="s">
        <v>575</v>
      </c>
      <c r="E3" s="422"/>
      <c r="F3" s="422"/>
      <c r="G3" s="422"/>
      <c r="H3" s="422"/>
    </row>
    <row r="4" spans="1:8" ht="15" customHeight="1" x14ac:dyDescent="0.25">
      <c r="A4" s="178"/>
      <c r="B4" s="420" t="s">
        <v>2</v>
      </c>
      <c r="C4" s="244"/>
      <c r="D4" s="423" t="s">
        <v>81</v>
      </c>
      <c r="E4" s="424"/>
      <c r="F4" s="424"/>
      <c r="G4" s="424"/>
      <c r="H4" s="424"/>
    </row>
    <row r="5" spans="1:8" ht="15" customHeight="1" x14ac:dyDescent="0.25">
      <c r="A5" s="178"/>
      <c r="B5" s="425"/>
      <c r="C5" s="173" t="s">
        <v>50</v>
      </c>
      <c r="D5" s="191" t="s">
        <v>576</v>
      </c>
      <c r="E5" s="192"/>
      <c r="F5" s="192"/>
      <c r="G5" s="192">
        <v>6</v>
      </c>
      <c r="H5" s="192"/>
    </row>
    <row r="6" spans="1:8" ht="15" customHeight="1" x14ac:dyDescent="0.25">
      <c r="A6" s="178"/>
      <c r="B6" s="425"/>
      <c r="C6" s="173" t="s">
        <v>52</v>
      </c>
      <c r="D6" s="191" t="s">
        <v>577</v>
      </c>
      <c r="E6" s="192">
        <v>0</v>
      </c>
      <c r="F6" s="192">
        <v>0</v>
      </c>
      <c r="G6" s="192">
        <v>0</v>
      </c>
      <c r="H6" s="192"/>
    </row>
    <row r="7" spans="1:8" ht="15" customHeight="1" x14ac:dyDescent="0.25">
      <c r="A7" s="178"/>
      <c r="B7" s="425"/>
      <c r="C7" s="173" t="s">
        <v>54</v>
      </c>
      <c r="D7" s="191" t="s">
        <v>578</v>
      </c>
      <c r="E7" s="192">
        <f>SUM(E8)</f>
        <v>41663</v>
      </c>
      <c r="F7" s="192">
        <f>SUM(F8)</f>
        <v>42482</v>
      </c>
      <c r="G7" s="192">
        <f>SUM(G8)</f>
        <v>0</v>
      </c>
      <c r="H7" s="192">
        <f t="shared" ref="H7:H72" si="0">G7/F7*100</f>
        <v>0</v>
      </c>
    </row>
    <row r="8" spans="1:8" s="189" customFormat="1" ht="15" customHeight="1" x14ac:dyDescent="0.25">
      <c r="A8" s="426"/>
      <c r="B8" s="427"/>
      <c r="C8" s="198" t="s">
        <v>186</v>
      </c>
      <c r="D8" s="195" t="s">
        <v>579</v>
      </c>
      <c r="E8" s="196">
        <f>SUM(E9+E14+E19)</f>
        <v>41663</v>
      </c>
      <c r="F8" s="196">
        <f>SUM(F9+F14+F19)</f>
        <v>42482</v>
      </c>
      <c r="G8" s="196">
        <f>SUM(G9+G14+G19)</f>
        <v>0</v>
      </c>
      <c r="H8" s="196">
        <f t="shared" si="0"/>
        <v>0</v>
      </c>
    </row>
    <row r="9" spans="1:8" ht="15" customHeight="1" x14ac:dyDescent="0.25">
      <c r="A9" s="178"/>
      <c r="B9" s="425"/>
      <c r="C9" s="244" t="s">
        <v>580</v>
      </c>
      <c r="D9" s="428" t="s">
        <v>581</v>
      </c>
      <c r="E9" s="192">
        <f>SUM(E10:E13)</f>
        <v>20630</v>
      </c>
      <c r="F9" s="192">
        <f>SUM(F10:F13)</f>
        <v>21112</v>
      </c>
      <c r="G9" s="192">
        <f>SUM(G10:G13)</f>
        <v>0</v>
      </c>
      <c r="H9" s="192">
        <f t="shared" si="0"/>
        <v>0</v>
      </c>
    </row>
    <row r="10" spans="1:8" ht="15" customHeight="1" x14ac:dyDescent="0.25">
      <c r="A10" s="178"/>
      <c r="B10" s="425"/>
      <c r="C10" s="244" t="s">
        <v>582</v>
      </c>
      <c r="D10" s="429" t="s">
        <v>583</v>
      </c>
      <c r="E10" s="192">
        <v>8048</v>
      </c>
      <c r="F10" s="192">
        <v>8216</v>
      </c>
      <c r="G10" s="192"/>
      <c r="H10" s="192">
        <f t="shared" si="0"/>
        <v>0</v>
      </c>
    </row>
    <row r="11" spans="1:8" ht="15" customHeight="1" x14ac:dyDescent="0.25">
      <c r="A11" s="178"/>
      <c r="B11" s="425"/>
      <c r="C11" s="244" t="s">
        <v>584</v>
      </c>
      <c r="D11" s="429" t="s">
        <v>585</v>
      </c>
      <c r="E11" s="192">
        <v>1478</v>
      </c>
      <c r="F11" s="192">
        <v>1478</v>
      </c>
      <c r="G11" s="192"/>
      <c r="H11" s="192">
        <f t="shared" si="0"/>
        <v>0</v>
      </c>
    </row>
    <row r="12" spans="1:8" ht="15" customHeight="1" x14ac:dyDescent="0.25">
      <c r="A12" s="178"/>
      <c r="B12" s="425"/>
      <c r="C12" s="244" t="s">
        <v>586</v>
      </c>
      <c r="D12" s="429" t="s">
        <v>587</v>
      </c>
      <c r="E12" s="192">
        <v>6459</v>
      </c>
      <c r="F12" s="192">
        <v>6669</v>
      </c>
      <c r="G12" s="192"/>
      <c r="H12" s="192">
        <f t="shared" si="0"/>
        <v>0</v>
      </c>
    </row>
    <row r="13" spans="1:8" ht="15" customHeight="1" x14ac:dyDescent="0.25">
      <c r="A13" s="178"/>
      <c r="B13" s="425"/>
      <c r="C13" s="244" t="s">
        <v>588</v>
      </c>
      <c r="D13" s="429" t="s">
        <v>589</v>
      </c>
      <c r="E13" s="192">
        <v>4645</v>
      </c>
      <c r="F13" s="192">
        <v>4749</v>
      </c>
      <c r="G13" s="192"/>
      <c r="H13" s="192">
        <f t="shared" si="0"/>
        <v>0</v>
      </c>
    </row>
    <row r="14" spans="1:8" ht="15" customHeight="1" x14ac:dyDescent="0.25">
      <c r="A14" s="178"/>
      <c r="B14" s="425"/>
      <c r="C14" s="244" t="s">
        <v>590</v>
      </c>
      <c r="D14" s="428" t="s">
        <v>591</v>
      </c>
      <c r="E14" s="192">
        <f>SUM(E15:E18)</f>
        <v>15669</v>
      </c>
      <c r="F14" s="192">
        <f>SUM(F15:F18)</f>
        <v>15669</v>
      </c>
      <c r="G14" s="192">
        <f>SUM(G15:G18)</f>
        <v>0</v>
      </c>
      <c r="H14" s="192">
        <f t="shared" si="0"/>
        <v>0</v>
      </c>
    </row>
    <row r="15" spans="1:8" ht="15" customHeight="1" x14ac:dyDescent="0.25">
      <c r="A15" s="178"/>
      <c r="B15" s="425"/>
      <c r="C15" s="244" t="s">
        <v>592</v>
      </c>
      <c r="D15" s="429" t="s">
        <v>583</v>
      </c>
      <c r="E15" s="192">
        <v>6112</v>
      </c>
      <c r="F15" s="192">
        <v>6112</v>
      </c>
      <c r="G15" s="192"/>
      <c r="H15" s="192">
        <f t="shared" si="0"/>
        <v>0</v>
      </c>
    </row>
    <row r="16" spans="1:8" ht="15" customHeight="1" x14ac:dyDescent="0.25">
      <c r="A16" s="178"/>
      <c r="B16" s="425"/>
      <c r="C16" s="244" t="s">
        <v>593</v>
      </c>
      <c r="D16" s="429" t="s">
        <v>585</v>
      </c>
      <c r="E16" s="192">
        <v>1123</v>
      </c>
      <c r="F16" s="192">
        <v>1123</v>
      </c>
      <c r="G16" s="192"/>
      <c r="H16" s="192">
        <f t="shared" si="0"/>
        <v>0</v>
      </c>
    </row>
    <row r="17" spans="1:11" ht="15" customHeight="1" x14ac:dyDescent="0.25">
      <c r="A17" s="178"/>
      <c r="B17" s="425"/>
      <c r="C17" s="244" t="s">
        <v>594</v>
      </c>
      <c r="D17" s="429" t="s">
        <v>587</v>
      </c>
      <c r="E17" s="192">
        <v>4906</v>
      </c>
      <c r="F17" s="192">
        <v>4906</v>
      </c>
      <c r="G17" s="192"/>
      <c r="H17" s="192">
        <f t="shared" si="0"/>
        <v>0</v>
      </c>
    </row>
    <row r="18" spans="1:11" ht="15" customHeight="1" x14ac:dyDescent="0.25">
      <c r="A18" s="178"/>
      <c r="B18" s="425"/>
      <c r="C18" s="244" t="s">
        <v>595</v>
      </c>
      <c r="D18" s="429" t="s">
        <v>589</v>
      </c>
      <c r="E18" s="192">
        <v>3528</v>
      </c>
      <c r="F18" s="192">
        <v>3528</v>
      </c>
      <c r="G18" s="192"/>
      <c r="H18" s="192">
        <f t="shared" si="0"/>
        <v>0</v>
      </c>
    </row>
    <row r="19" spans="1:11" ht="15" customHeight="1" x14ac:dyDescent="0.25">
      <c r="A19" s="178"/>
      <c r="B19" s="425"/>
      <c r="C19" s="244" t="s">
        <v>596</v>
      </c>
      <c r="D19" s="428" t="s">
        <v>597</v>
      </c>
      <c r="E19" s="192">
        <f>SUM(E20:E20)</f>
        <v>5364</v>
      </c>
      <c r="F19" s="192">
        <f>SUM(F20:F20)</f>
        <v>5701</v>
      </c>
      <c r="G19" s="192">
        <f>SUM(G20:G20)</f>
        <v>0</v>
      </c>
      <c r="H19" s="192">
        <f t="shared" si="0"/>
        <v>0</v>
      </c>
      <c r="K19" s="216">
        <f>SUM(E50-E26)</f>
        <v>0</v>
      </c>
    </row>
    <row r="20" spans="1:11" ht="15" customHeight="1" x14ac:dyDescent="0.25">
      <c r="A20" s="178"/>
      <c r="B20" s="425"/>
      <c r="C20" s="244" t="s">
        <v>598</v>
      </c>
      <c r="D20" s="429" t="s">
        <v>583</v>
      </c>
      <c r="E20" s="249">
        <v>5364</v>
      </c>
      <c r="F20" s="192">
        <v>5701</v>
      </c>
      <c r="G20" s="192"/>
      <c r="H20" s="192">
        <f t="shared" si="0"/>
        <v>0</v>
      </c>
    </row>
    <row r="21" spans="1:11" ht="15" customHeight="1" x14ac:dyDescent="0.25">
      <c r="A21" s="947"/>
      <c r="B21" s="948"/>
      <c r="C21" s="949" t="s">
        <v>1325</v>
      </c>
      <c r="D21" s="950" t="s">
        <v>1326</v>
      </c>
      <c r="E21" s="951"/>
      <c r="F21" s="952">
        <v>734</v>
      </c>
      <c r="G21" s="952"/>
      <c r="H21" s="952">
        <f t="shared" si="0"/>
        <v>0</v>
      </c>
    </row>
    <row r="22" spans="1:11" ht="15" customHeight="1" x14ac:dyDescent="0.25">
      <c r="A22" s="178"/>
      <c r="B22" s="425"/>
      <c r="C22" s="173" t="s">
        <v>56</v>
      </c>
      <c r="D22" s="191" t="s">
        <v>226</v>
      </c>
      <c r="E22" s="192">
        <f>SUM(E23:E25)</f>
        <v>0</v>
      </c>
      <c r="F22" s="192">
        <f>SUM(F23:F25)</f>
        <v>0</v>
      </c>
      <c r="G22" s="192">
        <f>SUM(G23:G25)</f>
        <v>0</v>
      </c>
      <c r="H22" s="192"/>
    </row>
    <row r="23" spans="1:11" ht="15" customHeight="1" x14ac:dyDescent="0.25">
      <c r="A23" s="178"/>
      <c r="B23" s="425"/>
      <c r="C23" s="244"/>
      <c r="D23" s="429" t="s">
        <v>587</v>
      </c>
      <c r="E23" s="192"/>
      <c r="F23" s="192">
        <v>0</v>
      </c>
      <c r="G23" s="192">
        <v>0</v>
      </c>
      <c r="H23" s="192"/>
      <c r="I23" s="216"/>
    </row>
    <row r="24" spans="1:11" ht="15" customHeight="1" x14ac:dyDescent="0.25">
      <c r="A24" s="178"/>
      <c r="B24" s="425"/>
      <c r="C24" s="244"/>
      <c r="D24" s="429" t="s">
        <v>589</v>
      </c>
      <c r="E24" s="192"/>
      <c r="F24" s="192">
        <v>0</v>
      </c>
      <c r="G24" s="192">
        <v>0</v>
      </c>
      <c r="H24" s="192"/>
      <c r="I24" s="216"/>
    </row>
    <row r="25" spans="1:11" ht="15" customHeight="1" x14ac:dyDescent="0.25">
      <c r="A25" s="178"/>
      <c r="B25" s="425"/>
      <c r="C25" s="244"/>
      <c r="D25" s="429" t="s">
        <v>585</v>
      </c>
      <c r="E25" s="192"/>
      <c r="F25" s="192">
        <v>0</v>
      </c>
      <c r="G25" s="192"/>
      <c r="H25" s="192"/>
      <c r="I25" s="216"/>
    </row>
    <row r="26" spans="1:11" ht="15" customHeight="1" x14ac:dyDescent="0.25">
      <c r="A26" s="178"/>
      <c r="B26" s="425"/>
      <c r="C26" s="244"/>
      <c r="D26" s="430" t="s">
        <v>599</v>
      </c>
      <c r="E26" s="431">
        <f>SUM(E5+E7+E6+E22)</f>
        <v>41663</v>
      </c>
      <c r="F26" s="431">
        <f>SUM(F5+F7+F6+F21+F22)</f>
        <v>43216</v>
      </c>
      <c r="G26" s="431">
        <f>SUM(G5+G7+G6+G21+G22)</f>
        <v>6</v>
      </c>
      <c r="H26" s="431">
        <f t="shared" si="0"/>
        <v>1.388374676045909E-2</v>
      </c>
      <c r="I26" s="216"/>
    </row>
    <row r="27" spans="1:11" ht="15" customHeight="1" x14ac:dyDescent="0.25">
      <c r="A27" s="178"/>
      <c r="B27" s="420" t="s">
        <v>3</v>
      </c>
      <c r="C27" s="245"/>
      <c r="D27" s="423" t="s">
        <v>82</v>
      </c>
      <c r="E27" s="424"/>
      <c r="F27" s="424"/>
      <c r="G27" s="424"/>
      <c r="H27" s="424"/>
      <c r="I27" s="216"/>
    </row>
    <row r="28" spans="1:11" ht="15" customHeight="1" x14ac:dyDescent="0.25">
      <c r="A28" s="178"/>
      <c r="B28" s="425"/>
      <c r="C28" s="245" t="s">
        <v>4</v>
      </c>
      <c r="D28" s="191" t="s">
        <v>272</v>
      </c>
      <c r="E28" s="192">
        <f>SUM(E29:E32)</f>
        <v>25223</v>
      </c>
      <c r="F28" s="192">
        <f>SUM(F29:F32)</f>
        <v>25868</v>
      </c>
      <c r="G28" s="192">
        <f>SUM(G29:G32)</f>
        <v>0</v>
      </c>
      <c r="H28" s="192">
        <f t="shared" si="0"/>
        <v>0</v>
      </c>
      <c r="I28" s="216"/>
    </row>
    <row r="29" spans="1:11" ht="15" customHeight="1" x14ac:dyDescent="0.25">
      <c r="A29" s="178"/>
      <c r="B29" s="425"/>
      <c r="C29" s="245" t="s">
        <v>239</v>
      </c>
      <c r="D29" s="429" t="s">
        <v>583</v>
      </c>
      <c r="E29" s="192">
        <v>11629</v>
      </c>
      <c r="F29" s="192">
        <v>12026</v>
      </c>
      <c r="G29" s="192"/>
      <c r="H29" s="192">
        <f t="shared" si="0"/>
        <v>0</v>
      </c>
      <c r="I29" s="216"/>
    </row>
    <row r="30" spans="1:11" ht="15" customHeight="1" x14ac:dyDescent="0.25">
      <c r="A30" s="178"/>
      <c r="B30" s="425"/>
      <c r="C30" s="245" t="s">
        <v>255</v>
      </c>
      <c r="D30" s="429" t="s">
        <v>585</v>
      </c>
      <c r="E30" s="192">
        <v>969</v>
      </c>
      <c r="F30" s="192">
        <v>969</v>
      </c>
      <c r="G30" s="192"/>
      <c r="H30" s="192">
        <f t="shared" si="0"/>
        <v>0</v>
      </c>
      <c r="I30" s="216"/>
    </row>
    <row r="31" spans="1:11" ht="15" customHeight="1" x14ac:dyDescent="0.25">
      <c r="A31" s="178"/>
      <c r="B31" s="425"/>
      <c r="C31" s="245" t="s">
        <v>212</v>
      </c>
      <c r="D31" s="429" t="s">
        <v>587</v>
      </c>
      <c r="E31" s="192">
        <v>6738</v>
      </c>
      <c r="F31" s="192">
        <v>6904</v>
      </c>
      <c r="G31" s="192"/>
      <c r="H31" s="192">
        <f t="shared" si="0"/>
        <v>0</v>
      </c>
      <c r="I31" s="216"/>
    </row>
    <row r="32" spans="1:11" ht="15" customHeight="1" x14ac:dyDescent="0.25">
      <c r="A32" s="178"/>
      <c r="B32" s="425"/>
      <c r="C32" s="245" t="s">
        <v>536</v>
      </c>
      <c r="D32" s="429" t="s">
        <v>589</v>
      </c>
      <c r="E32" s="192">
        <v>5887</v>
      </c>
      <c r="F32" s="192">
        <v>5969</v>
      </c>
      <c r="G32" s="192"/>
      <c r="H32" s="192">
        <f t="shared" si="0"/>
        <v>0</v>
      </c>
      <c r="I32" s="216"/>
    </row>
    <row r="33" spans="1:9" ht="15" customHeight="1" x14ac:dyDescent="0.25">
      <c r="A33" s="178"/>
      <c r="B33" s="425"/>
      <c r="C33" s="245" t="s">
        <v>6</v>
      </c>
      <c r="D33" s="191" t="s">
        <v>273</v>
      </c>
      <c r="E33" s="192">
        <f>SUM(E34:E37)</f>
        <v>6603</v>
      </c>
      <c r="F33" s="192">
        <f>SUM(F34:F37)</f>
        <v>6777</v>
      </c>
      <c r="G33" s="192">
        <f>SUM(G34:G37)</f>
        <v>0</v>
      </c>
      <c r="H33" s="192">
        <f t="shared" si="0"/>
        <v>0</v>
      </c>
      <c r="I33" s="216"/>
    </row>
    <row r="34" spans="1:9" ht="15" customHeight="1" x14ac:dyDescent="0.25">
      <c r="A34" s="178"/>
      <c r="B34" s="425"/>
      <c r="C34" s="245" t="s">
        <v>259</v>
      </c>
      <c r="D34" s="429" t="s">
        <v>583</v>
      </c>
      <c r="E34" s="192">
        <v>3029</v>
      </c>
      <c r="F34" s="192">
        <v>3136</v>
      </c>
      <c r="G34" s="192"/>
      <c r="H34" s="192">
        <f t="shared" si="0"/>
        <v>0</v>
      </c>
      <c r="I34" s="216"/>
    </row>
    <row r="35" spans="1:9" ht="15" customHeight="1" x14ac:dyDescent="0.25">
      <c r="A35" s="178"/>
      <c r="B35" s="425"/>
      <c r="C35" s="245" t="s">
        <v>600</v>
      </c>
      <c r="D35" s="429" t="s">
        <v>585</v>
      </c>
      <c r="E35" s="192">
        <v>248</v>
      </c>
      <c r="F35" s="192">
        <v>248</v>
      </c>
      <c r="G35" s="192"/>
      <c r="H35" s="192">
        <f t="shared" si="0"/>
        <v>0</v>
      </c>
      <c r="I35" s="216"/>
    </row>
    <row r="36" spans="1:9" ht="15" customHeight="1" x14ac:dyDescent="0.25">
      <c r="A36" s="178"/>
      <c r="B36" s="425"/>
      <c r="C36" s="245" t="s">
        <v>601</v>
      </c>
      <c r="D36" s="429" t="s">
        <v>587</v>
      </c>
      <c r="E36" s="192">
        <v>1780</v>
      </c>
      <c r="F36" s="192">
        <v>1825</v>
      </c>
      <c r="G36" s="192"/>
      <c r="H36" s="192">
        <f t="shared" si="0"/>
        <v>0</v>
      </c>
      <c r="I36" s="216"/>
    </row>
    <row r="37" spans="1:9" ht="15" customHeight="1" x14ac:dyDescent="0.25">
      <c r="A37" s="178"/>
      <c r="B37" s="425"/>
      <c r="C37" s="245" t="s">
        <v>602</v>
      </c>
      <c r="D37" s="429" t="s">
        <v>589</v>
      </c>
      <c r="E37" s="192">
        <v>1546</v>
      </c>
      <c r="F37" s="192">
        <v>1568</v>
      </c>
      <c r="G37" s="192"/>
      <c r="H37" s="192">
        <f t="shared" si="0"/>
        <v>0</v>
      </c>
      <c r="I37" s="216"/>
    </row>
    <row r="38" spans="1:9" ht="15" customHeight="1" x14ac:dyDescent="0.25">
      <c r="A38" s="178"/>
      <c r="B38" s="425"/>
      <c r="C38" s="245" t="s">
        <v>7</v>
      </c>
      <c r="D38" s="191" t="s">
        <v>86</v>
      </c>
      <c r="E38" s="192">
        <f>SUM(E39:E42)</f>
        <v>5690</v>
      </c>
      <c r="F38" s="192">
        <f>SUM(F39:F42)</f>
        <v>6424</v>
      </c>
      <c r="G38" s="192">
        <f>SUM(G39:G42)</f>
        <v>0</v>
      </c>
      <c r="H38" s="192">
        <f t="shared" si="0"/>
        <v>0</v>
      </c>
      <c r="I38" s="216"/>
    </row>
    <row r="39" spans="1:9" ht="15" customHeight="1" x14ac:dyDescent="0.25">
      <c r="A39" s="178"/>
      <c r="B39" s="425"/>
      <c r="C39" s="245" t="s">
        <v>260</v>
      </c>
      <c r="D39" s="429" t="s">
        <v>583</v>
      </c>
      <c r="E39" s="192">
        <v>4864</v>
      </c>
      <c r="F39" s="192">
        <v>5598</v>
      </c>
      <c r="G39" s="192"/>
      <c r="H39" s="192">
        <f t="shared" si="0"/>
        <v>0</v>
      </c>
      <c r="I39" s="216"/>
    </row>
    <row r="40" spans="1:9" ht="15" customHeight="1" x14ac:dyDescent="0.25">
      <c r="A40" s="178"/>
      <c r="B40" s="425"/>
      <c r="C40" s="245" t="s">
        <v>467</v>
      </c>
      <c r="D40" s="429" t="s">
        <v>585</v>
      </c>
      <c r="E40" s="192">
        <v>733</v>
      </c>
      <c r="F40" s="192">
        <v>733</v>
      </c>
      <c r="G40" s="192"/>
      <c r="H40" s="192">
        <f t="shared" si="0"/>
        <v>0</v>
      </c>
      <c r="I40" s="216"/>
    </row>
    <row r="41" spans="1:9" ht="15" customHeight="1" x14ac:dyDescent="0.25">
      <c r="A41" s="178"/>
      <c r="B41" s="425"/>
      <c r="C41" s="245" t="s">
        <v>468</v>
      </c>
      <c r="D41" s="429" t="s">
        <v>587</v>
      </c>
      <c r="E41" s="192">
        <v>35</v>
      </c>
      <c r="F41" s="192">
        <v>35</v>
      </c>
      <c r="G41" s="192"/>
      <c r="H41" s="192">
        <f t="shared" si="0"/>
        <v>0</v>
      </c>
      <c r="I41" s="216"/>
    </row>
    <row r="42" spans="1:9" ht="15" customHeight="1" x14ac:dyDescent="0.25">
      <c r="A42" s="178"/>
      <c r="B42" s="425"/>
      <c r="C42" s="245" t="s">
        <v>603</v>
      </c>
      <c r="D42" s="429" t="s">
        <v>589</v>
      </c>
      <c r="E42" s="192">
        <v>58</v>
      </c>
      <c r="F42" s="192">
        <v>58</v>
      </c>
      <c r="G42" s="192"/>
      <c r="H42" s="192">
        <f t="shared" si="0"/>
        <v>0</v>
      </c>
      <c r="I42" s="216"/>
    </row>
    <row r="43" spans="1:9" ht="15" customHeight="1" x14ac:dyDescent="0.25">
      <c r="A43" s="178"/>
      <c r="B43" s="425"/>
      <c r="C43" s="245" t="s">
        <v>8</v>
      </c>
      <c r="D43" s="191" t="s">
        <v>604</v>
      </c>
      <c r="E43" s="192">
        <f>SUM(E44:E46)</f>
        <v>4147</v>
      </c>
      <c r="F43" s="192">
        <f>SUM(F44:F46)</f>
        <v>4147</v>
      </c>
      <c r="G43" s="192">
        <f>SUM(G44:G46)</f>
        <v>0</v>
      </c>
      <c r="H43" s="192">
        <f t="shared" si="0"/>
        <v>0</v>
      </c>
    </row>
    <row r="44" spans="1:9" ht="15" customHeight="1" x14ac:dyDescent="0.25">
      <c r="A44" s="178"/>
      <c r="B44" s="425"/>
      <c r="C44" s="245" t="s">
        <v>264</v>
      </c>
      <c r="D44" s="429" t="s">
        <v>587</v>
      </c>
      <c r="E44" s="192">
        <v>2813</v>
      </c>
      <c r="F44" s="192">
        <v>2813</v>
      </c>
      <c r="G44" s="192"/>
      <c r="H44" s="192">
        <f t="shared" si="0"/>
        <v>0</v>
      </c>
    </row>
    <row r="45" spans="1:9" ht="15" customHeight="1" x14ac:dyDescent="0.25">
      <c r="A45" s="178"/>
      <c r="B45" s="425"/>
      <c r="C45" s="245" t="s">
        <v>605</v>
      </c>
      <c r="D45" s="429" t="s">
        <v>589</v>
      </c>
      <c r="E45" s="192">
        <v>682</v>
      </c>
      <c r="F45" s="192">
        <v>682</v>
      </c>
      <c r="G45" s="192"/>
      <c r="H45" s="192">
        <f t="shared" si="0"/>
        <v>0</v>
      </c>
    </row>
    <row r="46" spans="1:9" ht="15" customHeight="1" x14ac:dyDescent="0.25">
      <c r="A46" s="178"/>
      <c r="B46" s="425"/>
      <c r="C46" s="245" t="s">
        <v>606</v>
      </c>
      <c r="D46" s="429" t="s">
        <v>585</v>
      </c>
      <c r="E46" s="192">
        <v>652</v>
      </c>
      <c r="F46" s="192">
        <v>652</v>
      </c>
      <c r="G46" s="192"/>
      <c r="H46" s="192">
        <f t="shared" si="0"/>
        <v>0</v>
      </c>
    </row>
    <row r="47" spans="1:9" ht="15" customHeight="1" x14ac:dyDescent="0.25">
      <c r="A47" s="178"/>
      <c r="B47" s="425"/>
      <c r="C47" s="245" t="s">
        <v>9</v>
      </c>
      <c r="D47" s="191" t="s">
        <v>607</v>
      </c>
      <c r="E47" s="192"/>
      <c r="F47" s="192"/>
      <c r="G47" s="192"/>
      <c r="H47" s="192"/>
    </row>
    <row r="48" spans="1:9" ht="15" customHeight="1" x14ac:dyDescent="0.25">
      <c r="A48" s="178"/>
      <c r="B48" s="425"/>
      <c r="C48" s="245" t="s">
        <v>147</v>
      </c>
      <c r="D48" s="191" t="s">
        <v>608</v>
      </c>
      <c r="E48" s="192"/>
      <c r="F48" s="192"/>
      <c r="G48" s="192"/>
      <c r="H48" s="192" t="e">
        <f t="shared" si="0"/>
        <v>#DIV/0!</v>
      </c>
    </row>
    <row r="49" spans="1:11" ht="15" customHeight="1" x14ac:dyDescent="0.25">
      <c r="A49" s="178"/>
      <c r="B49" s="425"/>
      <c r="C49" s="245" t="s">
        <v>11</v>
      </c>
      <c r="D49" s="191" t="s">
        <v>1020</v>
      </c>
      <c r="E49" s="192"/>
      <c r="F49" s="192"/>
      <c r="G49" s="192"/>
      <c r="H49" s="192"/>
    </row>
    <row r="50" spans="1:11" ht="15" customHeight="1" x14ac:dyDescent="0.25">
      <c r="A50" s="178"/>
      <c r="B50" s="425"/>
      <c r="C50" s="245"/>
      <c r="D50" s="432" t="s">
        <v>610</v>
      </c>
      <c r="E50" s="431">
        <f>SUM(E28+E33+E38+E43+E47+E48+E49)</f>
        <v>41663</v>
      </c>
      <c r="F50" s="431">
        <f>SUM(F28+F33+F38+F43+F47+F48+F49)</f>
        <v>43216</v>
      </c>
      <c r="G50" s="431">
        <f>SUM(G28+G33+G38+G43+G47+G48+G49)</f>
        <v>0</v>
      </c>
      <c r="H50" s="431">
        <f t="shared" si="0"/>
        <v>0</v>
      </c>
      <c r="K50" s="216"/>
    </row>
    <row r="51" spans="1:11" ht="15" customHeight="1" x14ac:dyDescent="0.25">
      <c r="A51" s="178"/>
      <c r="B51" s="420" t="s">
        <v>12</v>
      </c>
      <c r="C51" s="174"/>
      <c r="D51" s="433" t="s">
        <v>611</v>
      </c>
      <c r="E51" s="300">
        <v>11.5</v>
      </c>
      <c r="F51" s="305">
        <v>11.5</v>
      </c>
      <c r="G51" s="305">
        <v>11.5</v>
      </c>
      <c r="H51" s="305">
        <f t="shared" si="0"/>
        <v>100</v>
      </c>
    </row>
    <row r="52" spans="1:11" ht="15" customHeight="1" x14ac:dyDescent="0.25">
      <c r="A52" s="414"/>
      <c r="B52" s="415"/>
      <c r="C52" s="416"/>
      <c r="D52" s="1650" t="s">
        <v>612</v>
      </c>
      <c r="E52" s="1650"/>
      <c r="F52" s="434"/>
      <c r="G52" s="434"/>
      <c r="H52" s="434"/>
    </row>
    <row r="53" spans="1:11" ht="15" customHeight="1" x14ac:dyDescent="0.25">
      <c r="A53" s="178"/>
      <c r="B53" s="420" t="s">
        <v>2</v>
      </c>
      <c r="C53" s="244"/>
      <c r="D53" s="435" t="s">
        <v>81</v>
      </c>
      <c r="E53" s="436"/>
      <c r="F53" s="436"/>
      <c r="G53" s="436"/>
      <c r="H53" s="436"/>
    </row>
    <row r="54" spans="1:11" ht="15" customHeight="1" x14ac:dyDescent="0.25">
      <c r="A54" s="178"/>
      <c r="B54" s="425"/>
      <c r="C54" s="173" t="s">
        <v>50</v>
      </c>
      <c r="D54" s="191" t="s">
        <v>576</v>
      </c>
      <c r="E54" s="192">
        <v>0</v>
      </c>
      <c r="F54" s="192">
        <v>0</v>
      </c>
      <c r="G54" s="192">
        <v>0</v>
      </c>
      <c r="H54" s="192"/>
    </row>
    <row r="55" spans="1:11" ht="15" customHeight="1" x14ac:dyDescent="0.25">
      <c r="A55" s="178"/>
      <c r="B55" s="425"/>
      <c r="C55" s="173" t="s">
        <v>52</v>
      </c>
      <c r="D55" s="191" t="s">
        <v>577</v>
      </c>
      <c r="E55" s="192"/>
      <c r="F55" s="192"/>
      <c r="G55" s="192"/>
      <c r="H55" s="192"/>
    </row>
    <row r="56" spans="1:11" ht="15" customHeight="1" x14ac:dyDescent="0.25">
      <c r="A56" s="178"/>
      <c r="B56" s="425"/>
      <c r="C56" s="173" t="s">
        <v>54</v>
      </c>
      <c r="D56" s="191" t="s">
        <v>578</v>
      </c>
      <c r="E56" s="192">
        <f>SUM(E58+E63+E68+E71)</f>
        <v>49116</v>
      </c>
      <c r="F56" s="192">
        <f>SUM(F58+F63+F68+F71)</f>
        <v>50770</v>
      </c>
      <c r="G56" s="192">
        <f>SUM(G58+G63+G68+G71)</f>
        <v>0</v>
      </c>
      <c r="H56" s="192">
        <f t="shared" si="0"/>
        <v>0</v>
      </c>
    </row>
    <row r="57" spans="1:11" s="189" customFormat="1" ht="15" customHeight="1" x14ac:dyDescent="0.25">
      <c r="A57" s="426"/>
      <c r="B57" s="427"/>
      <c r="C57" s="198" t="s">
        <v>186</v>
      </c>
      <c r="D57" s="195" t="s">
        <v>579</v>
      </c>
      <c r="E57" s="196">
        <f>SUM(E58+E63+E68)</f>
        <v>49116</v>
      </c>
      <c r="F57" s="196">
        <f>SUM(F58+F63+F68)</f>
        <v>50770</v>
      </c>
      <c r="G57" s="196">
        <f>SUM(G58+G63+G68)</f>
        <v>0</v>
      </c>
      <c r="H57" s="196">
        <f t="shared" si="0"/>
        <v>0</v>
      </c>
    </row>
    <row r="58" spans="1:11" ht="15" customHeight="1" x14ac:dyDescent="0.25">
      <c r="A58" s="178"/>
      <c r="B58" s="425"/>
      <c r="C58" s="244" t="s">
        <v>580</v>
      </c>
      <c r="D58" s="428" t="s">
        <v>581</v>
      </c>
      <c r="E58" s="192">
        <f>SUM(E59:E62)</f>
        <v>20630</v>
      </c>
      <c r="F58" s="192">
        <f>SUM(F59:F62)</f>
        <v>21776</v>
      </c>
      <c r="G58" s="192">
        <f>SUM(G59:G62)</f>
        <v>0</v>
      </c>
      <c r="H58" s="192">
        <f t="shared" si="0"/>
        <v>0</v>
      </c>
    </row>
    <row r="59" spans="1:11" ht="15" customHeight="1" x14ac:dyDescent="0.25">
      <c r="A59" s="178"/>
      <c r="B59" s="425"/>
      <c r="C59" s="244" t="s">
        <v>582</v>
      </c>
      <c r="D59" s="429" t="s">
        <v>583</v>
      </c>
      <c r="E59" s="192">
        <v>8048</v>
      </c>
      <c r="F59" s="192">
        <v>8644</v>
      </c>
      <c r="G59" s="192"/>
      <c r="H59" s="192">
        <f t="shared" si="0"/>
        <v>0</v>
      </c>
    </row>
    <row r="60" spans="1:11" ht="15" customHeight="1" x14ac:dyDescent="0.25">
      <c r="A60" s="178"/>
      <c r="B60" s="425"/>
      <c r="C60" s="244" t="s">
        <v>584</v>
      </c>
      <c r="D60" s="429" t="s">
        <v>585</v>
      </c>
      <c r="E60" s="192">
        <v>1478</v>
      </c>
      <c r="F60" s="192">
        <v>1478</v>
      </c>
      <c r="G60" s="192"/>
      <c r="H60" s="192">
        <f t="shared" si="0"/>
        <v>0</v>
      </c>
    </row>
    <row r="61" spans="1:11" ht="15" customHeight="1" x14ac:dyDescent="0.25">
      <c r="A61" s="178"/>
      <c r="B61" s="425"/>
      <c r="C61" s="244" t="s">
        <v>586</v>
      </c>
      <c r="D61" s="429" t="s">
        <v>587</v>
      </c>
      <c r="E61" s="192">
        <v>6459</v>
      </c>
      <c r="F61" s="192">
        <v>6801</v>
      </c>
      <c r="G61" s="192"/>
      <c r="H61" s="192">
        <f t="shared" si="0"/>
        <v>0</v>
      </c>
    </row>
    <row r="62" spans="1:11" ht="15" customHeight="1" x14ac:dyDescent="0.25">
      <c r="A62" s="178"/>
      <c r="B62" s="425"/>
      <c r="C62" s="244" t="s">
        <v>588</v>
      </c>
      <c r="D62" s="429" t="s">
        <v>589</v>
      </c>
      <c r="E62" s="192">
        <v>4645</v>
      </c>
      <c r="F62" s="192">
        <v>4853</v>
      </c>
      <c r="G62" s="192"/>
      <c r="H62" s="192">
        <f t="shared" si="0"/>
        <v>0</v>
      </c>
    </row>
    <row r="63" spans="1:11" ht="15" customHeight="1" x14ac:dyDescent="0.25">
      <c r="A63" s="178"/>
      <c r="B63" s="425"/>
      <c r="C63" s="244" t="s">
        <v>590</v>
      </c>
      <c r="D63" s="428" t="s">
        <v>591</v>
      </c>
      <c r="E63" s="192">
        <f>SUM(E64:E67)</f>
        <v>15669</v>
      </c>
      <c r="F63" s="192">
        <f>SUM(F64:F67)</f>
        <v>15669</v>
      </c>
      <c r="G63" s="192">
        <f>SUM(G64:G67)</f>
        <v>0</v>
      </c>
      <c r="H63" s="192">
        <f t="shared" si="0"/>
        <v>0</v>
      </c>
    </row>
    <row r="64" spans="1:11" ht="15" customHeight="1" x14ac:dyDescent="0.25">
      <c r="A64" s="178"/>
      <c r="B64" s="425"/>
      <c r="C64" s="244" t="s">
        <v>592</v>
      </c>
      <c r="D64" s="429" t="s">
        <v>583</v>
      </c>
      <c r="E64" s="192">
        <v>6112</v>
      </c>
      <c r="F64" s="192">
        <v>6112</v>
      </c>
      <c r="G64" s="192"/>
      <c r="H64" s="192">
        <f t="shared" si="0"/>
        <v>0</v>
      </c>
    </row>
    <row r="65" spans="1:12" ht="15" customHeight="1" x14ac:dyDescent="0.25">
      <c r="A65" s="178"/>
      <c r="B65" s="425"/>
      <c r="C65" s="244" t="s">
        <v>593</v>
      </c>
      <c r="D65" s="429" t="s">
        <v>585</v>
      </c>
      <c r="E65" s="192">
        <v>1123</v>
      </c>
      <c r="F65" s="192">
        <v>1123</v>
      </c>
      <c r="G65" s="192"/>
      <c r="H65" s="192">
        <f t="shared" si="0"/>
        <v>0</v>
      </c>
    </row>
    <row r="66" spans="1:12" ht="15" customHeight="1" x14ac:dyDescent="0.25">
      <c r="A66" s="178"/>
      <c r="B66" s="425"/>
      <c r="C66" s="244" t="s">
        <v>594</v>
      </c>
      <c r="D66" s="429" t="s">
        <v>587</v>
      </c>
      <c r="E66" s="192">
        <v>4906</v>
      </c>
      <c r="F66" s="192">
        <v>4906</v>
      </c>
      <c r="G66" s="192"/>
      <c r="H66" s="192">
        <f t="shared" si="0"/>
        <v>0</v>
      </c>
    </row>
    <row r="67" spans="1:12" ht="15" customHeight="1" x14ac:dyDescent="0.25">
      <c r="A67" s="178"/>
      <c r="B67" s="425"/>
      <c r="C67" s="244" t="s">
        <v>595</v>
      </c>
      <c r="D67" s="429" t="s">
        <v>589</v>
      </c>
      <c r="E67" s="192">
        <v>3528</v>
      </c>
      <c r="F67" s="192">
        <v>3528</v>
      </c>
      <c r="G67" s="192"/>
      <c r="H67" s="192">
        <f t="shared" si="0"/>
        <v>0</v>
      </c>
      <c r="I67" s="216"/>
    </row>
    <row r="68" spans="1:12" ht="15" customHeight="1" x14ac:dyDescent="0.25">
      <c r="A68" s="178"/>
      <c r="B68" s="425"/>
      <c r="C68" s="244" t="s">
        <v>596</v>
      </c>
      <c r="D68" s="428" t="s">
        <v>597</v>
      </c>
      <c r="E68" s="192">
        <f>SUM(E69:E69)</f>
        <v>12817</v>
      </c>
      <c r="F68" s="192">
        <f>SUM(F69:F69)</f>
        <v>13325</v>
      </c>
      <c r="G68" s="192">
        <f>SUM(G69:G69)</f>
        <v>0</v>
      </c>
      <c r="H68" s="192">
        <f t="shared" si="0"/>
        <v>0</v>
      </c>
    </row>
    <row r="69" spans="1:12" ht="15" customHeight="1" x14ac:dyDescent="0.25">
      <c r="A69" s="178"/>
      <c r="B69" s="425"/>
      <c r="C69" s="244" t="s">
        <v>598</v>
      </c>
      <c r="D69" s="429" t="s">
        <v>583</v>
      </c>
      <c r="E69" s="249">
        <v>12817</v>
      </c>
      <c r="F69" s="192">
        <v>13325</v>
      </c>
      <c r="G69" s="192"/>
      <c r="H69" s="192">
        <f t="shared" si="0"/>
        <v>0</v>
      </c>
    </row>
    <row r="70" spans="1:12" ht="15" customHeight="1" x14ac:dyDescent="0.25">
      <c r="A70" s="947"/>
      <c r="B70" s="948"/>
      <c r="C70" s="949" t="s">
        <v>1325</v>
      </c>
      <c r="D70" s="950" t="s">
        <v>1326</v>
      </c>
      <c r="E70" s="951"/>
      <c r="F70" s="952">
        <v>734</v>
      </c>
      <c r="G70" s="952"/>
      <c r="H70" s="952">
        <f t="shared" si="0"/>
        <v>0</v>
      </c>
    </row>
    <row r="71" spans="1:12" s="189" customFormat="1" ht="15" customHeight="1" x14ac:dyDescent="0.25">
      <c r="A71" s="426"/>
      <c r="B71" s="427"/>
      <c r="C71" s="198" t="s">
        <v>187</v>
      </c>
      <c r="D71" s="195" t="s">
        <v>613</v>
      </c>
      <c r="E71" s="437"/>
      <c r="F71" s="437"/>
      <c r="G71" s="437"/>
      <c r="H71" s="437"/>
      <c r="K71" s="243">
        <f>SUM(E100-E76)</f>
        <v>0</v>
      </c>
      <c r="L71" s="438"/>
    </row>
    <row r="72" spans="1:12" ht="15" customHeight="1" x14ac:dyDescent="0.25">
      <c r="A72" s="178"/>
      <c r="B72" s="425"/>
      <c r="C72" s="173" t="s">
        <v>56</v>
      </c>
      <c r="D72" s="191" t="s">
        <v>226</v>
      </c>
      <c r="E72" s="192">
        <f>SUM(E73:E75)</f>
        <v>2924</v>
      </c>
      <c r="F72" s="192">
        <f>SUM(F73:F75)</f>
        <v>2924</v>
      </c>
      <c r="G72" s="192">
        <f>SUM(G73:G75)</f>
        <v>0</v>
      </c>
      <c r="H72" s="192">
        <f t="shared" si="0"/>
        <v>0</v>
      </c>
    </row>
    <row r="73" spans="1:12" ht="15" customHeight="1" x14ac:dyDescent="0.25">
      <c r="A73" s="178"/>
      <c r="B73" s="425"/>
      <c r="C73" s="244" t="s">
        <v>225</v>
      </c>
      <c r="D73" s="429" t="s">
        <v>585</v>
      </c>
      <c r="E73" s="192">
        <v>903</v>
      </c>
      <c r="F73" s="192">
        <v>903</v>
      </c>
      <c r="G73" s="192"/>
      <c r="H73" s="192">
        <f t="shared" ref="H73:H100" si="1">G73/F73*100</f>
        <v>0</v>
      </c>
    </row>
    <row r="74" spans="1:12" ht="15" customHeight="1" x14ac:dyDescent="0.25">
      <c r="A74" s="178"/>
      <c r="B74" s="425"/>
      <c r="C74" s="244" t="s">
        <v>288</v>
      </c>
      <c r="D74" s="429" t="s">
        <v>587</v>
      </c>
      <c r="E74" s="192">
        <v>1125</v>
      </c>
      <c r="F74" s="192">
        <v>1125</v>
      </c>
      <c r="G74" s="192"/>
      <c r="H74" s="192">
        <f t="shared" si="1"/>
        <v>0</v>
      </c>
    </row>
    <row r="75" spans="1:12" ht="15" customHeight="1" x14ac:dyDescent="0.25">
      <c r="A75" s="178"/>
      <c r="B75" s="425"/>
      <c r="C75" s="244" t="s">
        <v>614</v>
      </c>
      <c r="D75" s="429" t="s">
        <v>589</v>
      </c>
      <c r="E75" s="192">
        <v>896</v>
      </c>
      <c r="F75" s="192">
        <v>896</v>
      </c>
      <c r="G75" s="192"/>
      <c r="H75" s="192">
        <f t="shared" si="1"/>
        <v>0</v>
      </c>
    </row>
    <row r="76" spans="1:12" ht="15" customHeight="1" x14ac:dyDescent="0.25">
      <c r="A76" s="178"/>
      <c r="B76" s="425"/>
      <c r="C76" s="244"/>
      <c r="D76" s="430" t="s">
        <v>599</v>
      </c>
      <c r="E76" s="431">
        <f>SUM(E54+E56+E55+E72)</f>
        <v>52040</v>
      </c>
      <c r="F76" s="431">
        <f>SUM(F54+F56+F55+F70+F72)</f>
        <v>54428</v>
      </c>
      <c r="G76" s="431">
        <f>SUM(G54+G56+G55+G70+G72)</f>
        <v>0</v>
      </c>
      <c r="H76" s="431">
        <f t="shared" si="1"/>
        <v>0</v>
      </c>
      <c r="I76" s="216"/>
    </row>
    <row r="77" spans="1:12" ht="15" customHeight="1" x14ac:dyDescent="0.25">
      <c r="A77" s="178"/>
      <c r="B77" s="420" t="s">
        <v>3</v>
      </c>
      <c r="C77" s="245"/>
      <c r="D77" s="423" t="s">
        <v>82</v>
      </c>
      <c r="E77" s="439"/>
      <c r="F77" s="439"/>
      <c r="G77" s="439"/>
      <c r="H77" s="439"/>
    </row>
    <row r="78" spans="1:12" ht="15" customHeight="1" x14ac:dyDescent="0.25">
      <c r="A78" s="178"/>
      <c r="B78" s="425"/>
      <c r="C78" s="245" t="s">
        <v>4</v>
      </c>
      <c r="D78" s="191" t="s">
        <v>272</v>
      </c>
      <c r="E78" s="192">
        <f>SUM(E79:E82)</f>
        <v>36063</v>
      </c>
      <c r="F78" s="192">
        <f>SUM(F79:F82)</f>
        <v>37365</v>
      </c>
      <c r="G78" s="192">
        <f>SUM(G79:G82)</f>
        <v>0</v>
      </c>
      <c r="H78" s="192">
        <f t="shared" si="1"/>
        <v>0</v>
      </c>
    </row>
    <row r="79" spans="1:12" ht="15" customHeight="1" x14ac:dyDescent="0.25">
      <c r="A79" s="178"/>
      <c r="B79" s="425"/>
      <c r="C79" s="245" t="s">
        <v>239</v>
      </c>
      <c r="D79" s="429" t="s">
        <v>583</v>
      </c>
      <c r="E79" s="192">
        <v>17912</v>
      </c>
      <c r="F79" s="192">
        <v>18781</v>
      </c>
      <c r="G79" s="192"/>
      <c r="H79" s="192">
        <f t="shared" si="1"/>
        <v>0</v>
      </c>
    </row>
    <row r="80" spans="1:12" ht="15" customHeight="1" x14ac:dyDescent="0.25">
      <c r="A80" s="178"/>
      <c r="B80" s="425"/>
      <c r="C80" s="245" t="s">
        <v>255</v>
      </c>
      <c r="D80" s="429" t="s">
        <v>585</v>
      </c>
      <c r="E80" s="192">
        <v>1218</v>
      </c>
      <c r="F80" s="192">
        <v>1218</v>
      </c>
      <c r="G80" s="192"/>
      <c r="H80" s="192">
        <f t="shared" si="1"/>
        <v>0</v>
      </c>
    </row>
    <row r="81" spans="1:8" ht="15" customHeight="1" x14ac:dyDescent="0.25">
      <c r="A81" s="178"/>
      <c r="B81" s="425"/>
      <c r="C81" s="245" t="s">
        <v>212</v>
      </c>
      <c r="D81" s="429" t="s">
        <v>587</v>
      </c>
      <c r="E81" s="192">
        <v>9822</v>
      </c>
      <c r="F81" s="192">
        <v>10091</v>
      </c>
      <c r="G81" s="192"/>
      <c r="H81" s="192">
        <f t="shared" si="1"/>
        <v>0</v>
      </c>
    </row>
    <row r="82" spans="1:8" ht="15" customHeight="1" x14ac:dyDescent="0.25">
      <c r="A82" s="178"/>
      <c r="B82" s="425"/>
      <c r="C82" s="245" t="s">
        <v>536</v>
      </c>
      <c r="D82" s="429" t="s">
        <v>589</v>
      </c>
      <c r="E82" s="192">
        <v>7111</v>
      </c>
      <c r="F82" s="192">
        <v>7275</v>
      </c>
      <c r="G82" s="192"/>
      <c r="H82" s="192">
        <f t="shared" si="1"/>
        <v>0</v>
      </c>
    </row>
    <row r="83" spans="1:8" ht="15" customHeight="1" x14ac:dyDescent="0.25">
      <c r="A83" s="178"/>
      <c r="B83" s="425"/>
      <c r="C83" s="245" t="s">
        <v>6</v>
      </c>
      <c r="D83" s="191" t="s">
        <v>273</v>
      </c>
      <c r="E83" s="192">
        <f>SUM(E84:E87)</f>
        <v>9535</v>
      </c>
      <c r="F83" s="192">
        <f>SUM(F84:F87)</f>
        <v>9887</v>
      </c>
      <c r="G83" s="192">
        <f>SUM(G84:G87)</f>
        <v>0</v>
      </c>
      <c r="H83" s="192">
        <f t="shared" si="1"/>
        <v>0</v>
      </c>
    </row>
    <row r="84" spans="1:8" ht="15" customHeight="1" x14ac:dyDescent="0.25">
      <c r="A84" s="178"/>
      <c r="B84" s="425"/>
      <c r="C84" s="245" t="s">
        <v>259</v>
      </c>
      <c r="D84" s="429" t="s">
        <v>583</v>
      </c>
      <c r="E84" s="192">
        <v>4723</v>
      </c>
      <c r="F84" s="192">
        <v>4958</v>
      </c>
      <c r="G84" s="192"/>
      <c r="H84" s="192">
        <f t="shared" si="1"/>
        <v>0</v>
      </c>
    </row>
    <row r="85" spans="1:8" ht="15" customHeight="1" x14ac:dyDescent="0.25">
      <c r="A85" s="178"/>
      <c r="B85" s="425"/>
      <c r="C85" s="245" t="s">
        <v>600</v>
      </c>
      <c r="D85" s="429" t="s">
        <v>585</v>
      </c>
      <c r="E85" s="192">
        <v>329</v>
      </c>
      <c r="F85" s="192">
        <v>329</v>
      </c>
      <c r="G85" s="192"/>
      <c r="H85" s="192">
        <f t="shared" si="1"/>
        <v>0</v>
      </c>
    </row>
    <row r="86" spans="1:8" ht="15" customHeight="1" x14ac:dyDescent="0.25">
      <c r="A86" s="178"/>
      <c r="B86" s="425"/>
      <c r="C86" s="245" t="s">
        <v>601</v>
      </c>
      <c r="D86" s="429" t="s">
        <v>587</v>
      </c>
      <c r="E86" s="192">
        <v>2612</v>
      </c>
      <c r="F86" s="192">
        <v>2685</v>
      </c>
      <c r="G86" s="192"/>
      <c r="H86" s="192">
        <f t="shared" si="1"/>
        <v>0</v>
      </c>
    </row>
    <row r="87" spans="1:8" ht="15" customHeight="1" x14ac:dyDescent="0.25">
      <c r="A87" s="178"/>
      <c r="B87" s="425"/>
      <c r="C87" s="245" t="s">
        <v>602</v>
      </c>
      <c r="D87" s="429" t="s">
        <v>589</v>
      </c>
      <c r="E87" s="192">
        <v>1871</v>
      </c>
      <c r="F87" s="192">
        <v>1915</v>
      </c>
      <c r="G87" s="192"/>
      <c r="H87" s="192">
        <f t="shared" si="1"/>
        <v>0</v>
      </c>
    </row>
    <row r="88" spans="1:8" ht="15" customHeight="1" x14ac:dyDescent="0.25">
      <c r="A88" s="178"/>
      <c r="B88" s="425"/>
      <c r="C88" s="245" t="s">
        <v>7</v>
      </c>
      <c r="D88" s="191" t="s">
        <v>86</v>
      </c>
      <c r="E88" s="192">
        <f>SUM(E89:E92)</f>
        <v>6442</v>
      </c>
      <c r="F88" s="192">
        <f>SUM(F89:F92)</f>
        <v>7176</v>
      </c>
      <c r="G88" s="192">
        <f>SUM(G89:G92)</f>
        <v>0</v>
      </c>
      <c r="H88" s="192">
        <f t="shared" si="1"/>
        <v>0</v>
      </c>
    </row>
    <row r="89" spans="1:8" ht="15" customHeight="1" x14ac:dyDescent="0.25">
      <c r="A89" s="178"/>
      <c r="B89" s="425"/>
      <c r="C89" s="245" t="s">
        <v>260</v>
      </c>
      <c r="D89" s="429" t="s">
        <v>583</v>
      </c>
      <c r="E89" s="192">
        <v>4342</v>
      </c>
      <c r="F89" s="192">
        <v>5076</v>
      </c>
      <c r="G89" s="192"/>
      <c r="H89" s="192">
        <f t="shared" si="1"/>
        <v>0</v>
      </c>
    </row>
    <row r="90" spans="1:8" ht="15" customHeight="1" x14ac:dyDescent="0.25">
      <c r="A90" s="178"/>
      <c r="B90" s="425"/>
      <c r="C90" s="245" t="s">
        <v>467</v>
      </c>
      <c r="D90" s="429" t="s">
        <v>585</v>
      </c>
      <c r="E90" s="192">
        <v>1958</v>
      </c>
      <c r="F90" s="192">
        <v>1958</v>
      </c>
      <c r="G90" s="192"/>
      <c r="H90" s="192">
        <f t="shared" si="1"/>
        <v>0</v>
      </c>
    </row>
    <row r="91" spans="1:8" ht="15" customHeight="1" x14ac:dyDescent="0.25">
      <c r="A91" s="178"/>
      <c r="B91" s="425"/>
      <c r="C91" s="245" t="s">
        <v>468</v>
      </c>
      <c r="D91" s="429" t="s">
        <v>587</v>
      </c>
      <c r="E91" s="192">
        <v>55</v>
      </c>
      <c r="F91" s="192">
        <v>55</v>
      </c>
      <c r="G91" s="192"/>
      <c r="H91" s="192">
        <f t="shared" si="1"/>
        <v>0</v>
      </c>
    </row>
    <row r="92" spans="1:8" ht="15" customHeight="1" x14ac:dyDescent="0.25">
      <c r="A92" s="178"/>
      <c r="B92" s="425"/>
      <c r="C92" s="245" t="s">
        <v>603</v>
      </c>
      <c r="D92" s="429" t="s">
        <v>589</v>
      </c>
      <c r="E92" s="192">
        <v>87</v>
      </c>
      <c r="F92" s="192">
        <v>87</v>
      </c>
      <c r="G92" s="192"/>
      <c r="H92" s="192">
        <f t="shared" si="1"/>
        <v>0</v>
      </c>
    </row>
    <row r="93" spans="1:8" ht="15" customHeight="1" x14ac:dyDescent="0.25">
      <c r="A93" s="178"/>
      <c r="B93" s="425"/>
      <c r="C93" s="245" t="s">
        <v>8</v>
      </c>
      <c r="D93" s="191" t="s">
        <v>604</v>
      </c>
      <c r="E93" s="192"/>
      <c r="F93" s="192"/>
      <c r="G93" s="192"/>
      <c r="H93" s="192"/>
    </row>
    <row r="94" spans="1:8" ht="15" customHeight="1" x14ac:dyDescent="0.25">
      <c r="A94" s="178"/>
      <c r="B94" s="425"/>
      <c r="C94" s="245" t="s">
        <v>264</v>
      </c>
      <c r="D94" s="429" t="s">
        <v>587</v>
      </c>
      <c r="E94" s="192"/>
      <c r="F94" s="192"/>
      <c r="G94" s="192"/>
      <c r="H94" s="192"/>
    </row>
    <row r="95" spans="1:8" ht="15" customHeight="1" x14ac:dyDescent="0.25">
      <c r="A95" s="178"/>
      <c r="B95" s="425"/>
      <c r="C95" s="245" t="s">
        <v>605</v>
      </c>
      <c r="D95" s="429" t="s">
        <v>589</v>
      </c>
      <c r="E95" s="192"/>
      <c r="F95" s="192"/>
      <c r="G95" s="192"/>
      <c r="H95" s="192"/>
    </row>
    <row r="96" spans="1:8" ht="15" customHeight="1" x14ac:dyDescent="0.25">
      <c r="A96" s="178"/>
      <c r="B96" s="425"/>
      <c r="C96" s="245" t="s">
        <v>606</v>
      </c>
      <c r="D96" s="429" t="s">
        <v>585</v>
      </c>
      <c r="E96" s="192"/>
      <c r="F96" s="192"/>
      <c r="G96" s="192"/>
      <c r="H96" s="192"/>
    </row>
    <row r="97" spans="1:11" ht="15" customHeight="1" x14ac:dyDescent="0.25">
      <c r="A97" s="178"/>
      <c r="B97" s="425"/>
      <c r="C97" s="245" t="s">
        <v>9</v>
      </c>
      <c r="D97" s="191" t="s">
        <v>607</v>
      </c>
      <c r="E97" s="192"/>
      <c r="F97" s="192"/>
      <c r="G97" s="192"/>
      <c r="H97" s="192"/>
    </row>
    <row r="98" spans="1:11" ht="15" customHeight="1" x14ac:dyDescent="0.25">
      <c r="A98" s="178"/>
      <c r="B98" s="425"/>
      <c r="C98" s="245" t="s">
        <v>10</v>
      </c>
      <c r="D98" s="191" t="s">
        <v>608</v>
      </c>
      <c r="E98" s="192"/>
      <c r="F98" s="192"/>
      <c r="G98" s="192"/>
      <c r="H98" s="192"/>
    </row>
    <row r="99" spans="1:11" ht="15" customHeight="1" x14ac:dyDescent="0.25">
      <c r="A99" s="178"/>
      <c r="B99" s="425"/>
      <c r="C99" s="412" t="s">
        <v>11</v>
      </c>
      <c r="D99" s="191" t="s">
        <v>609</v>
      </c>
      <c r="E99" s="192"/>
      <c r="F99" s="192"/>
      <c r="G99" s="192"/>
      <c r="H99" s="192"/>
    </row>
    <row r="100" spans="1:11" ht="15" customHeight="1" x14ac:dyDescent="0.25">
      <c r="A100" s="178"/>
      <c r="B100" s="425"/>
      <c r="C100" s="245"/>
      <c r="D100" s="432" t="s">
        <v>610</v>
      </c>
      <c r="E100" s="431">
        <f>SUM(E78+E83+E88+E93+E97+E98+E99)</f>
        <v>52040</v>
      </c>
      <c r="F100" s="431">
        <f>SUM(F78+F83+F88+F93+F97+F98+F99)</f>
        <v>54428</v>
      </c>
      <c r="G100" s="431">
        <f>SUM(G78+G83+G88+G93+G97+G98+G99)</f>
        <v>0</v>
      </c>
      <c r="H100" s="431">
        <f t="shared" si="1"/>
        <v>0</v>
      </c>
      <c r="K100" s="216"/>
    </row>
    <row r="101" spans="1:11" ht="15" customHeight="1" x14ac:dyDescent="0.25">
      <c r="A101" s="178"/>
      <c r="B101" s="420" t="s">
        <v>12</v>
      </c>
      <c r="C101" s="174"/>
      <c r="D101" s="433" t="s">
        <v>611</v>
      </c>
      <c r="E101" s="305">
        <v>16</v>
      </c>
      <c r="F101" s="305">
        <v>16</v>
      </c>
      <c r="G101" s="305">
        <v>16</v>
      </c>
      <c r="H101" s="305"/>
    </row>
  </sheetData>
  <sheetProtection selectLockedCells="1" selectUnlockedCells="1"/>
  <mergeCells count="3">
    <mergeCell ref="A1:C1"/>
    <mergeCell ref="D2:E2"/>
    <mergeCell ref="D52:E52"/>
  </mergeCells>
  <printOptions horizontalCentered="1"/>
  <pageMargins left="0" right="0" top="0.9055118110236221" bottom="0.39370078740157483" header="0.23622047244094491" footer="0.11811023622047245"/>
  <pageSetup paperSize="9" scale="86" firstPageNumber="81" orientation="portrait" r:id="rId1"/>
  <headerFooter alignWithMargins="0">
    <oddHeader>&amp;C&amp;"Times New Roman,Félkövér"&amp;14
Tájékoztató a Mikró Kistérségi Társulás intézményeinek adatairól 
Vecsés vonatkozásában&amp;R&amp;"Times New Roman,Normál"&amp;12 5.9.1. sz. melléklet
Ezer Ft</oddHeader>
    <oddFooter>&amp;C- &amp;P -</oddFooter>
  </headerFooter>
  <rowBreaks count="1" manualBreakCount="1">
    <brk id="51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view="pageBreakPreview" topLeftCell="B1" zoomScaleNormal="130" workbookViewId="0">
      <selection activeCell="K24" sqref="K24"/>
    </sheetView>
  </sheetViews>
  <sheetFormatPr defaultRowHeight="12.75" x14ac:dyDescent="0.2"/>
  <cols>
    <col min="1" max="1" width="7.5" style="75" customWidth="1"/>
    <col min="2" max="2" width="8.83203125" style="76" customWidth="1"/>
    <col min="3" max="3" width="68" style="76" customWidth="1"/>
    <col min="4" max="4" width="14.83203125" style="76" customWidth="1"/>
    <col min="5" max="6" width="14.5" style="76" customWidth="1"/>
    <col min="7" max="7" width="10.6640625" style="76" customWidth="1"/>
    <col min="8" max="16384" width="9.33203125" style="76"/>
  </cols>
  <sheetData>
    <row r="1" spans="1:7" s="326" customFormat="1" ht="21" customHeight="1" x14ac:dyDescent="0.2">
      <c r="A1" s="323"/>
      <c r="B1" s="324"/>
      <c r="C1" s="342"/>
      <c r="D1" s="1552" t="s">
        <v>526</v>
      </c>
      <c r="E1" s="1552"/>
      <c r="F1" s="1552"/>
      <c r="G1" s="1552"/>
    </row>
    <row r="2" spans="1:7" s="79" customFormat="1" ht="27.75" customHeight="1" x14ac:dyDescent="0.2">
      <c r="A2" s="1554" t="s">
        <v>495</v>
      </c>
      <c r="B2" s="1554"/>
      <c r="C2" s="77" t="s">
        <v>496</v>
      </c>
      <c r="D2" s="1523" t="s">
        <v>1024</v>
      </c>
      <c r="E2" s="343"/>
      <c r="F2" s="1523" t="s">
        <v>1420</v>
      </c>
      <c r="G2" s="343"/>
    </row>
    <row r="3" spans="1:7" s="79" customFormat="1" ht="32.25" customHeight="1" x14ac:dyDescent="0.2">
      <c r="A3" s="1555" t="s">
        <v>122</v>
      </c>
      <c r="B3" s="1555"/>
      <c r="C3" s="80" t="s">
        <v>527</v>
      </c>
      <c r="D3" s="1524"/>
      <c r="E3" s="327"/>
      <c r="F3" s="1524"/>
      <c r="G3" s="327"/>
    </row>
    <row r="4" spans="1:7" s="83" customFormat="1" ht="15" customHeight="1" x14ac:dyDescent="0.2">
      <c r="A4" s="344"/>
      <c r="B4" s="344"/>
      <c r="C4" s="344"/>
      <c r="D4" s="1556"/>
      <c r="E4" s="1556"/>
      <c r="F4" s="1556"/>
      <c r="G4" s="345" t="s">
        <v>79</v>
      </c>
    </row>
    <row r="5" spans="1:7" ht="33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5" customHeight="1" x14ac:dyDescent="0.2">
      <c r="A6" s="93">
        <v>1</v>
      </c>
      <c r="B6" s="348">
        <v>2</v>
      </c>
      <c r="C6" s="348">
        <v>3</v>
      </c>
      <c r="D6" s="349">
        <v>4</v>
      </c>
      <c r="E6" s="349">
        <v>5</v>
      </c>
      <c r="F6" s="349">
        <v>6</v>
      </c>
      <c r="G6" s="349">
        <v>7</v>
      </c>
    </row>
    <row r="7" spans="1:7" s="89" customFormat="1" ht="15" customHeight="1" x14ac:dyDescent="0.2">
      <c r="A7" s="150"/>
      <c r="B7" s="151"/>
      <c r="C7" s="387" t="s">
        <v>81</v>
      </c>
      <c r="D7" s="152"/>
      <c r="E7" s="152"/>
      <c r="F7" s="152"/>
      <c r="G7" s="152"/>
    </row>
    <row r="8" spans="1:7" s="96" customFormat="1" ht="15" customHeight="1" x14ac:dyDescent="0.2">
      <c r="A8" s="93" t="s">
        <v>2</v>
      </c>
      <c r="B8" s="94"/>
      <c r="C8" s="95" t="s">
        <v>497</v>
      </c>
      <c r="D8" s="141">
        <f>SUM(D9:D16)</f>
        <v>0</v>
      </c>
      <c r="E8" s="141">
        <f t="shared" ref="E8:F8" si="0">SUM(E9:E16)</f>
        <v>0</v>
      </c>
      <c r="F8" s="141">
        <f t="shared" si="0"/>
        <v>0</v>
      </c>
      <c r="G8" s="141"/>
    </row>
    <row r="9" spans="1:7" s="96" customFormat="1" ht="15" customHeight="1" x14ac:dyDescent="0.2">
      <c r="A9" s="102"/>
      <c r="B9" s="98" t="s">
        <v>50</v>
      </c>
      <c r="C9" s="4" t="s">
        <v>14</v>
      </c>
      <c r="D9" s="144"/>
      <c r="E9" s="144"/>
      <c r="F9" s="144"/>
      <c r="G9" s="144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142"/>
      <c r="E10" s="142"/>
      <c r="F10" s="142"/>
      <c r="G10" s="142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142"/>
      <c r="E11" s="142"/>
      <c r="F11" s="142"/>
      <c r="G11" s="142"/>
    </row>
    <row r="12" spans="1:7" s="96" customFormat="1" ht="15" customHeight="1" x14ac:dyDescent="0.2">
      <c r="A12" s="97"/>
      <c r="B12" s="98" t="s">
        <v>56</v>
      </c>
      <c r="C12" s="3" t="s">
        <v>20</v>
      </c>
      <c r="D12" s="142"/>
      <c r="E12" s="142"/>
      <c r="F12" s="142"/>
      <c r="G12" s="142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142"/>
      <c r="E13" s="142"/>
      <c r="F13" s="142"/>
      <c r="G13" s="142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143"/>
      <c r="E14" s="143"/>
      <c r="F14" s="143"/>
      <c r="G14" s="143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142"/>
      <c r="E15" s="142"/>
      <c r="F15" s="142"/>
      <c r="G15" s="142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145"/>
      <c r="E16" s="145"/>
      <c r="F16" s="145"/>
      <c r="G16" s="145"/>
    </row>
    <row r="17" spans="1:10" s="96" customFormat="1" ht="15" customHeight="1" x14ac:dyDescent="0.2">
      <c r="A17" s="93" t="s">
        <v>3</v>
      </c>
      <c r="B17" s="94"/>
      <c r="C17" s="120" t="s">
        <v>1222</v>
      </c>
      <c r="D17" s="141">
        <f>SUM(D18:D21)</f>
        <v>948</v>
      </c>
      <c r="E17" s="141">
        <f t="shared" ref="E17:F17" si="1">SUM(E18:E21)</f>
        <v>948</v>
      </c>
      <c r="F17" s="141">
        <f t="shared" si="1"/>
        <v>0</v>
      </c>
      <c r="G17" s="141">
        <f>F17/E17*100</f>
        <v>0</v>
      </c>
    </row>
    <row r="18" spans="1:10" s="99" customFormat="1" ht="15" customHeight="1" x14ac:dyDescent="0.2">
      <c r="A18" s="97"/>
      <c r="B18" s="98" t="s">
        <v>4</v>
      </c>
      <c r="C18" s="7" t="s">
        <v>1223</v>
      </c>
      <c r="D18" s="142">
        <v>948</v>
      </c>
      <c r="E18" s="142">
        <v>948</v>
      </c>
      <c r="F18" s="142"/>
      <c r="G18" s="142">
        <f>F18/E18*100</f>
        <v>0</v>
      </c>
    </row>
    <row r="19" spans="1:10" s="99" customFormat="1" ht="15" customHeight="1" x14ac:dyDescent="0.2">
      <c r="A19" s="97"/>
      <c r="B19" s="98" t="s">
        <v>6</v>
      </c>
      <c r="C19" s="3" t="s">
        <v>1224</v>
      </c>
      <c r="D19" s="142"/>
      <c r="E19" s="142"/>
      <c r="F19" s="142"/>
      <c r="G19" s="142"/>
    </row>
    <row r="20" spans="1:10" s="99" customFormat="1" ht="15" customHeight="1" x14ac:dyDescent="0.2">
      <c r="A20" s="97"/>
      <c r="B20" s="98" t="s">
        <v>7</v>
      </c>
      <c r="C20" s="3" t="s">
        <v>501</v>
      </c>
      <c r="D20" s="142"/>
      <c r="E20" s="142"/>
      <c r="F20" s="142"/>
      <c r="G20" s="142"/>
    </row>
    <row r="21" spans="1:10" s="99" customFormat="1" ht="15" customHeight="1" x14ac:dyDescent="0.2">
      <c r="A21" s="97"/>
      <c r="B21" s="98" t="s">
        <v>8</v>
      </c>
      <c r="C21" s="3" t="s">
        <v>502</v>
      </c>
      <c r="D21" s="142"/>
      <c r="E21" s="142"/>
      <c r="F21" s="142"/>
      <c r="G21" s="142"/>
    </row>
    <row r="22" spans="1:10" s="99" customFormat="1" ht="15" customHeight="1" x14ac:dyDescent="0.2">
      <c r="A22" s="93" t="s">
        <v>12</v>
      </c>
      <c r="B22" s="2"/>
      <c r="C22" s="2" t="s">
        <v>503</v>
      </c>
      <c r="D22" s="119"/>
      <c r="E22" s="119"/>
      <c r="F22" s="119"/>
      <c r="G22" s="119"/>
    </row>
    <row r="23" spans="1:10" s="99" customFormat="1" ht="15" customHeight="1" x14ac:dyDescent="0.2">
      <c r="A23" s="93" t="s">
        <v>68</v>
      </c>
      <c r="B23" s="2"/>
      <c r="C23" s="2" t="s">
        <v>504</v>
      </c>
      <c r="D23" s="142"/>
      <c r="E23" s="142"/>
      <c r="F23" s="142"/>
      <c r="G23" s="142"/>
    </row>
    <row r="24" spans="1:10" s="96" customFormat="1" ht="15" customHeight="1" x14ac:dyDescent="0.2">
      <c r="A24" s="93" t="s">
        <v>27</v>
      </c>
      <c r="B24" s="94"/>
      <c r="C24" s="2" t="s">
        <v>505</v>
      </c>
      <c r="D24" s="142"/>
      <c r="E24" s="142"/>
      <c r="F24" s="142"/>
      <c r="G24" s="142"/>
    </row>
    <row r="25" spans="1:10" s="96" customFormat="1" ht="15" customHeight="1" x14ac:dyDescent="0.2">
      <c r="A25" s="93" t="s">
        <v>32</v>
      </c>
      <c r="B25" s="115"/>
      <c r="C25" s="2" t="s">
        <v>506</v>
      </c>
      <c r="D25" s="148">
        <f>+D26+D27</f>
        <v>0</v>
      </c>
      <c r="E25" s="148">
        <f t="shared" ref="E25:F25" si="2">+E26+E27</f>
        <v>0</v>
      </c>
      <c r="F25" s="148">
        <f t="shared" si="2"/>
        <v>0</v>
      </c>
      <c r="G25" s="148"/>
    </row>
    <row r="26" spans="1:10" s="96" customFormat="1" ht="15" customHeight="1" x14ac:dyDescent="0.2">
      <c r="A26" s="102"/>
      <c r="B26" s="108" t="s">
        <v>33</v>
      </c>
      <c r="C26" s="4" t="s">
        <v>507</v>
      </c>
      <c r="D26" s="142"/>
      <c r="E26" s="142"/>
      <c r="F26" s="142"/>
      <c r="G26" s="142"/>
    </row>
    <row r="27" spans="1:10" s="96" customFormat="1" ht="15" customHeight="1" x14ac:dyDescent="0.2">
      <c r="A27" s="111"/>
      <c r="B27" s="112" t="s">
        <v>35</v>
      </c>
      <c r="C27" s="6" t="s">
        <v>508</v>
      </c>
      <c r="D27" s="142"/>
      <c r="E27" s="142"/>
      <c r="F27" s="142"/>
      <c r="G27" s="142"/>
    </row>
    <row r="28" spans="1:10" s="99" customFormat="1" ht="15" customHeight="1" x14ac:dyDescent="0.25">
      <c r="A28" s="116" t="s">
        <v>74</v>
      </c>
      <c r="B28" s="117"/>
      <c r="C28" s="2" t="s">
        <v>130</v>
      </c>
      <c r="D28" s="142">
        <v>14448</v>
      </c>
      <c r="E28" s="142">
        <v>14448</v>
      </c>
      <c r="F28" s="142"/>
      <c r="G28" s="142">
        <f>F28/E28*100</f>
        <v>0</v>
      </c>
      <c r="J28" s="110">
        <f>SUM(D46-D30)</f>
        <v>0</v>
      </c>
    </row>
    <row r="29" spans="1:10" s="99" customFormat="1" ht="15" customHeight="1" x14ac:dyDescent="0.25">
      <c r="A29" s="116"/>
      <c r="B29" s="117"/>
      <c r="C29" s="2" t="s">
        <v>509</v>
      </c>
      <c r="D29" s="119"/>
      <c r="E29" s="119"/>
      <c r="F29" s="119"/>
      <c r="G29" s="119"/>
    </row>
    <row r="30" spans="1:10" s="99" customFormat="1" ht="15" customHeight="1" x14ac:dyDescent="0.2">
      <c r="A30" s="150" t="s">
        <v>38</v>
      </c>
      <c r="B30" s="151"/>
      <c r="C30" s="354" t="s">
        <v>510</v>
      </c>
      <c r="D30" s="152">
        <f>SUM(D8,D17,D22,D23,D24,D25,D28)</f>
        <v>15396</v>
      </c>
      <c r="E30" s="152">
        <f t="shared" ref="E30:F30" si="3">SUM(E8,E17,E22,E23,E24,E25,E28)</f>
        <v>15396</v>
      </c>
      <c r="F30" s="152">
        <f t="shared" si="3"/>
        <v>0</v>
      </c>
      <c r="G30" s="152">
        <f>F30/E30*100</f>
        <v>0</v>
      </c>
    </row>
    <row r="31" spans="1:10" s="99" customFormat="1" ht="15" customHeight="1" x14ac:dyDescent="0.2">
      <c r="A31" s="336"/>
      <c r="B31" s="336"/>
      <c r="C31" s="355"/>
      <c r="D31" s="388"/>
      <c r="E31" s="388"/>
      <c r="F31" s="388"/>
      <c r="G31" s="388"/>
    </row>
    <row r="32" spans="1:10" s="89" customFormat="1" ht="15" customHeight="1" x14ac:dyDescent="0.2">
      <c r="A32" s="150"/>
      <c r="B32" s="151"/>
      <c r="C32" s="387" t="s">
        <v>82</v>
      </c>
      <c r="D32" s="152"/>
      <c r="E32" s="152"/>
      <c r="F32" s="152"/>
      <c r="G32" s="152"/>
    </row>
    <row r="33" spans="1:7" s="125" customFormat="1" ht="15" customHeight="1" x14ac:dyDescent="0.2">
      <c r="A33" s="93" t="s">
        <v>2</v>
      </c>
      <c r="B33" s="2"/>
      <c r="C33" s="10" t="s">
        <v>49</v>
      </c>
      <c r="D33" s="141">
        <f>SUM(D34:D38)</f>
        <v>15396</v>
      </c>
      <c r="E33" s="141">
        <f t="shared" ref="E33:F33" si="4">SUM(E34:E38)</f>
        <v>15396</v>
      </c>
      <c r="F33" s="141">
        <f t="shared" si="4"/>
        <v>0</v>
      </c>
      <c r="G33" s="141">
        <f>F33/E33*100</f>
        <v>0</v>
      </c>
    </row>
    <row r="34" spans="1:7" ht="15" customHeight="1" x14ac:dyDescent="0.2">
      <c r="A34" s="113"/>
      <c r="B34" s="124" t="s">
        <v>50</v>
      </c>
      <c r="C34" s="7" t="s">
        <v>51</v>
      </c>
      <c r="D34" s="147">
        <v>8407</v>
      </c>
      <c r="E34" s="147">
        <v>8407</v>
      </c>
      <c r="F34" s="147"/>
      <c r="G34" s="147">
        <f>F34/E34*100</f>
        <v>0</v>
      </c>
    </row>
    <row r="35" spans="1:7" ht="15" customHeight="1" x14ac:dyDescent="0.2">
      <c r="A35" s="97"/>
      <c r="B35" s="109" t="s">
        <v>52</v>
      </c>
      <c r="C35" s="3" t="s">
        <v>53</v>
      </c>
      <c r="D35" s="142">
        <v>2235</v>
      </c>
      <c r="E35" s="142">
        <v>2235</v>
      </c>
      <c r="F35" s="142"/>
      <c r="G35" s="142">
        <f>F35/E35*100</f>
        <v>0</v>
      </c>
    </row>
    <row r="36" spans="1:7" ht="15" customHeight="1" x14ac:dyDescent="0.2">
      <c r="A36" s="97"/>
      <c r="B36" s="109" t="s">
        <v>54</v>
      </c>
      <c r="C36" s="3" t="s">
        <v>55</v>
      </c>
      <c r="D36" s="142">
        <v>4754</v>
      </c>
      <c r="E36" s="142">
        <v>4754</v>
      </c>
      <c r="F36" s="142"/>
      <c r="G36" s="142">
        <f>F36/E36*100</f>
        <v>0</v>
      </c>
    </row>
    <row r="37" spans="1:7" ht="15" customHeight="1" x14ac:dyDescent="0.2">
      <c r="A37" s="97"/>
      <c r="B37" s="109" t="s">
        <v>56</v>
      </c>
      <c r="C37" s="3" t="s">
        <v>57</v>
      </c>
      <c r="D37" s="142"/>
      <c r="E37" s="142"/>
      <c r="F37" s="142"/>
      <c r="G37" s="142"/>
    </row>
    <row r="38" spans="1:7" ht="15" customHeight="1" x14ac:dyDescent="0.2">
      <c r="A38" s="97"/>
      <c r="B38" s="109" t="s">
        <v>58</v>
      </c>
      <c r="C38" s="3" t="s">
        <v>59</v>
      </c>
      <c r="D38" s="142"/>
      <c r="E38" s="142"/>
      <c r="F38" s="142"/>
      <c r="G38" s="142"/>
    </row>
    <row r="39" spans="1:7" ht="15" customHeight="1" x14ac:dyDescent="0.2">
      <c r="A39" s="93" t="s">
        <v>3</v>
      </c>
      <c r="B39" s="2"/>
      <c r="C39" s="10" t="s">
        <v>519</v>
      </c>
      <c r="D39" s="141">
        <f>SUM(D40:D43)</f>
        <v>0</v>
      </c>
      <c r="E39" s="141">
        <f t="shared" ref="E39:F39" si="5">SUM(E40:E43)</f>
        <v>0</v>
      </c>
      <c r="F39" s="141">
        <f t="shared" si="5"/>
        <v>0</v>
      </c>
      <c r="G39" s="141"/>
    </row>
    <row r="40" spans="1:7" s="125" customFormat="1" ht="15" customHeight="1" x14ac:dyDescent="0.2">
      <c r="A40" s="113"/>
      <c r="B40" s="124" t="s">
        <v>4</v>
      </c>
      <c r="C40" s="7" t="s">
        <v>512</v>
      </c>
      <c r="D40" s="147"/>
      <c r="E40" s="147"/>
      <c r="F40" s="147"/>
      <c r="G40" s="147"/>
    </row>
    <row r="41" spans="1:7" ht="15" customHeight="1" x14ac:dyDescent="0.2">
      <c r="A41" s="97"/>
      <c r="B41" s="109" t="s">
        <v>6</v>
      </c>
      <c r="C41" s="3" t="s">
        <v>64</v>
      </c>
      <c r="D41" s="142"/>
      <c r="E41" s="142"/>
      <c r="F41" s="142"/>
      <c r="G41" s="142"/>
    </row>
    <row r="42" spans="1:7" ht="31.5" customHeight="1" x14ac:dyDescent="0.2">
      <c r="A42" s="97"/>
      <c r="B42" s="109" t="s">
        <v>9</v>
      </c>
      <c r="C42" s="3" t="s">
        <v>65</v>
      </c>
      <c r="D42" s="142"/>
      <c r="E42" s="142"/>
      <c r="F42" s="142"/>
      <c r="G42" s="142"/>
    </row>
    <row r="43" spans="1:7" ht="15" customHeight="1" x14ac:dyDescent="0.2">
      <c r="A43" s="97"/>
      <c r="B43" s="109" t="s">
        <v>11</v>
      </c>
      <c r="C43" s="3" t="s">
        <v>513</v>
      </c>
      <c r="D43" s="142"/>
      <c r="E43" s="142"/>
      <c r="F43" s="142"/>
      <c r="G43" s="142"/>
    </row>
    <row r="44" spans="1:7" ht="15" customHeight="1" x14ac:dyDescent="0.2">
      <c r="A44" s="93" t="s">
        <v>12</v>
      </c>
      <c r="B44" s="2"/>
      <c r="C44" s="10" t="s">
        <v>514</v>
      </c>
      <c r="D44" s="119"/>
      <c r="E44" s="119"/>
      <c r="F44" s="119"/>
      <c r="G44" s="119"/>
    </row>
    <row r="45" spans="1:7" s="99" customFormat="1" ht="15" customHeight="1" x14ac:dyDescent="0.2">
      <c r="A45" s="93"/>
      <c r="B45" s="2"/>
      <c r="C45" s="10" t="s">
        <v>515</v>
      </c>
      <c r="D45" s="119"/>
      <c r="E45" s="119"/>
      <c r="F45" s="119"/>
      <c r="G45" s="119"/>
    </row>
    <row r="46" spans="1:7" ht="15" customHeight="1" x14ac:dyDescent="0.2">
      <c r="A46" s="150" t="s">
        <v>68</v>
      </c>
      <c r="B46" s="151"/>
      <c r="C46" s="354" t="s">
        <v>516</v>
      </c>
      <c r="D46" s="152">
        <f>+D33+D39+D44</f>
        <v>15396</v>
      </c>
      <c r="E46" s="152">
        <f t="shared" ref="E46:F46" si="6">+E33+E39+E44</f>
        <v>15396</v>
      </c>
      <c r="F46" s="152">
        <f t="shared" si="6"/>
        <v>0</v>
      </c>
      <c r="G46" s="152">
        <f>F46/E46*100</f>
        <v>0</v>
      </c>
    </row>
    <row r="47" spans="1:7" ht="15" customHeight="1" x14ac:dyDescent="0.2">
      <c r="A47" s="131"/>
      <c r="B47" s="132"/>
      <c r="C47" s="132"/>
      <c r="D47" s="390"/>
      <c r="E47" s="390"/>
      <c r="F47" s="390"/>
      <c r="G47" s="390"/>
    </row>
    <row r="48" spans="1:7" ht="15" customHeight="1" x14ac:dyDescent="0.2">
      <c r="A48" s="133" t="s">
        <v>136</v>
      </c>
      <c r="B48" s="134"/>
      <c r="C48" s="135"/>
      <c r="D48" s="356">
        <v>2</v>
      </c>
      <c r="E48" s="356">
        <v>2</v>
      </c>
      <c r="F48" s="356">
        <v>2</v>
      </c>
      <c r="G48" s="356"/>
    </row>
    <row r="49" spans="1:7" ht="15" customHeight="1" x14ac:dyDescent="0.2">
      <c r="A49" s="133" t="s">
        <v>137</v>
      </c>
      <c r="B49" s="134"/>
      <c r="C49" s="135"/>
      <c r="D49" s="356"/>
      <c r="E49" s="356"/>
      <c r="F49" s="356"/>
      <c r="G49" s="356"/>
    </row>
    <row r="50" spans="1:7" ht="15" x14ac:dyDescent="0.2">
      <c r="A50" s="391"/>
      <c r="B50" s="99"/>
      <c r="C50" s="99"/>
      <c r="D50" s="110"/>
      <c r="E50" s="110"/>
      <c r="F50" s="110"/>
      <c r="G50" s="110"/>
    </row>
    <row r="51" spans="1:7" ht="15" x14ac:dyDescent="0.2">
      <c r="A51" s="391"/>
      <c r="B51" s="99"/>
      <c r="C51" s="99"/>
      <c r="D51" s="110"/>
      <c r="E51" s="110"/>
      <c r="F51" s="110"/>
      <c r="G51" s="110"/>
    </row>
    <row r="52" spans="1:7" ht="15" x14ac:dyDescent="0.2">
      <c r="A52" s="391"/>
      <c r="B52" s="99"/>
      <c r="C52" s="99"/>
      <c r="D52" s="110"/>
      <c r="E52" s="110"/>
      <c r="F52" s="110"/>
      <c r="G52" s="110"/>
    </row>
    <row r="53" spans="1:7" ht="15" x14ac:dyDescent="0.2">
      <c r="A53" s="391"/>
      <c r="B53" s="99"/>
      <c r="C53" s="99"/>
      <c r="D53" s="110"/>
      <c r="E53" s="110"/>
      <c r="F53" s="110"/>
      <c r="G53" s="110"/>
    </row>
    <row r="54" spans="1:7" ht="15" x14ac:dyDescent="0.2">
      <c r="A54" s="391"/>
      <c r="B54" s="99"/>
      <c r="C54" s="99"/>
      <c r="D54" s="110"/>
      <c r="E54" s="110"/>
      <c r="F54" s="110"/>
      <c r="G54" s="110"/>
    </row>
    <row r="55" spans="1:7" ht="15" x14ac:dyDescent="0.2">
      <c r="A55" s="391"/>
      <c r="B55" s="99"/>
      <c r="C55" s="99"/>
      <c r="D55" s="110"/>
      <c r="E55" s="110"/>
      <c r="F55" s="110"/>
      <c r="G55" s="110"/>
    </row>
    <row r="56" spans="1:7" ht="15" x14ac:dyDescent="0.2">
      <c r="A56" s="391"/>
      <c r="B56" s="99"/>
      <c r="C56" s="99"/>
      <c r="D56" s="110"/>
      <c r="E56" s="110"/>
      <c r="F56" s="110"/>
      <c r="G56" s="110"/>
    </row>
    <row r="57" spans="1:7" ht="15" x14ac:dyDescent="0.2">
      <c r="A57" s="391"/>
      <c r="B57" s="99"/>
      <c r="C57" s="99"/>
      <c r="D57" s="110"/>
      <c r="E57" s="110"/>
      <c r="F57" s="110"/>
      <c r="G57" s="110"/>
    </row>
    <row r="58" spans="1:7" ht="15" x14ac:dyDescent="0.2">
      <c r="A58" s="391"/>
      <c r="B58" s="99"/>
      <c r="C58" s="99"/>
      <c r="D58" s="110"/>
      <c r="E58" s="110"/>
      <c r="F58" s="110"/>
      <c r="G58" s="110"/>
    </row>
    <row r="59" spans="1:7" ht="15" x14ac:dyDescent="0.2">
      <c r="A59" s="391"/>
      <c r="B59" s="99"/>
      <c r="C59" s="99"/>
      <c r="D59" s="110"/>
      <c r="E59" s="110"/>
      <c r="F59" s="110"/>
      <c r="G59" s="110"/>
    </row>
    <row r="60" spans="1:7" ht="15" x14ac:dyDescent="0.2">
      <c r="A60" s="391"/>
      <c r="B60" s="99"/>
      <c r="C60" s="99"/>
      <c r="D60" s="110"/>
      <c r="E60" s="110"/>
      <c r="F60" s="110"/>
      <c r="G60" s="110"/>
    </row>
    <row r="61" spans="1:7" ht="15" x14ac:dyDescent="0.2">
      <c r="A61" s="391"/>
      <c r="B61" s="99"/>
      <c r="C61" s="99"/>
      <c r="D61" s="110"/>
      <c r="E61" s="110"/>
      <c r="F61" s="110"/>
      <c r="G61" s="110"/>
    </row>
    <row r="62" spans="1:7" ht="15" x14ac:dyDescent="0.2">
      <c r="A62" s="391"/>
      <c r="B62" s="99"/>
      <c r="C62" s="99"/>
      <c r="D62" s="110"/>
      <c r="E62" s="110"/>
      <c r="F62" s="110"/>
      <c r="G62" s="110"/>
    </row>
    <row r="63" spans="1:7" ht="15" x14ac:dyDescent="0.2">
      <c r="A63" s="391"/>
      <c r="B63" s="99"/>
      <c r="C63" s="99"/>
      <c r="D63" s="110"/>
      <c r="E63" s="110"/>
      <c r="F63" s="110"/>
      <c r="G63" s="110"/>
    </row>
    <row r="64" spans="1:7" ht="15" x14ac:dyDescent="0.2">
      <c r="A64" s="391"/>
      <c r="B64" s="99"/>
      <c r="C64" s="99"/>
      <c r="D64" s="110"/>
      <c r="E64" s="110"/>
      <c r="F64" s="110"/>
      <c r="G64" s="110"/>
    </row>
    <row r="65" spans="1:7" ht="15" x14ac:dyDescent="0.2">
      <c r="A65" s="391"/>
      <c r="B65" s="99"/>
      <c r="C65" s="99"/>
      <c r="D65" s="110"/>
      <c r="E65" s="110"/>
      <c r="F65" s="110"/>
      <c r="G65" s="110"/>
    </row>
    <row r="66" spans="1:7" ht="15" x14ac:dyDescent="0.2">
      <c r="A66" s="391"/>
      <c r="B66" s="99"/>
      <c r="C66" s="99"/>
      <c r="D66" s="110"/>
      <c r="E66" s="110"/>
      <c r="F66" s="110"/>
      <c r="G66" s="110"/>
    </row>
    <row r="67" spans="1:7" ht="15" x14ac:dyDescent="0.2">
      <c r="A67" s="391"/>
      <c r="B67" s="99"/>
      <c r="C67" s="99"/>
      <c r="D67" s="110"/>
      <c r="E67" s="110"/>
      <c r="F67" s="110"/>
      <c r="G67" s="110"/>
    </row>
    <row r="68" spans="1:7" ht="15" x14ac:dyDescent="0.2">
      <c r="A68" s="391"/>
      <c r="B68" s="99"/>
      <c r="C68" s="99"/>
      <c r="D68" s="110"/>
      <c r="E68" s="110"/>
      <c r="F68" s="110"/>
      <c r="G68" s="110"/>
    </row>
    <row r="69" spans="1:7" ht="15" x14ac:dyDescent="0.2">
      <c r="A69" s="391"/>
      <c r="B69" s="99"/>
      <c r="C69" s="99"/>
      <c r="D69" s="110"/>
      <c r="E69" s="110"/>
      <c r="F69" s="110"/>
      <c r="G69" s="110"/>
    </row>
    <row r="70" spans="1:7" ht="15" x14ac:dyDescent="0.2">
      <c r="A70" s="391"/>
      <c r="B70" s="99"/>
      <c r="C70" s="99"/>
      <c r="D70" s="110"/>
      <c r="E70" s="110"/>
      <c r="F70" s="110"/>
      <c r="G70" s="110"/>
    </row>
    <row r="71" spans="1:7" ht="15" x14ac:dyDescent="0.2">
      <c r="A71" s="391"/>
      <c r="B71" s="99"/>
      <c r="C71" s="99"/>
      <c r="D71" s="110"/>
      <c r="E71" s="110"/>
      <c r="F71" s="110"/>
      <c r="G71" s="110"/>
    </row>
    <row r="72" spans="1:7" ht="15" x14ac:dyDescent="0.2">
      <c r="A72" s="391"/>
      <c r="B72" s="99"/>
      <c r="C72" s="99"/>
      <c r="D72" s="110"/>
      <c r="E72" s="110"/>
      <c r="F72" s="110"/>
      <c r="G72" s="110"/>
    </row>
    <row r="73" spans="1:7" ht="15" x14ac:dyDescent="0.2">
      <c r="A73" s="391"/>
      <c r="B73" s="99"/>
      <c r="C73" s="99"/>
      <c r="D73" s="110"/>
      <c r="E73" s="110"/>
      <c r="F73" s="110"/>
      <c r="G73" s="110"/>
    </row>
    <row r="74" spans="1:7" ht="15" x14ac:dyDescent="0.2">
      <c r="A74" s="391"/>
      <c r="B74" s="99"/>
      <c r="C74" s="99"/>
      <c r="D74" s="110"/>
      <c r="E74" s="110"/>
      <c r="F74" s="110"/>
      <c r="G74" s="110"/>
    </row>
    <row r="75" spans="1:7" ht="15" x14ac:dyDescent="0.2">
      <c r="A75" s="391"/>
      <c r="B75" s="99"/>
      <c r="C75" s="99"/>
      <c r="D75" s="110"/>
      <c r="E75" s="110"/>
      <c r="F75" s="110"/>
      <c r="G75" s="110"/>
    </row>
    <row r="76" spans="1:7" ht="15" x14ac:dyDescent="0.2">
      <c r="A76" s="391"/>
      <c r="B76" s="99"/>
      <c r="C76" s="99"/>
      <c r="D76" s="110"/>
      <c r="E76" s="110"/>
      <c r="F76" s="110"/>
      <c r="G76" s="110"/>
    </row>
    <row r="77" spans="1:7" ht="15" x14ac:dyDescent="0.2">
      <c r="A77" s="391"/>
      <c r="B77" s="99"/>
      <c r="C77" s="99"/>
      <c r="D77" s="110"/>
      <c r="E77" s="110"/>
      <c r="F77" s="110"/>
      <c r="G77" s="110"/>
    </row>
    <row r="78" spans="1:7" ht="15" x14ac:dyDescent="0.2">
      <c r="A78" s="391"/>
      <c r="B78" s="99"/>
      <c r="C78" s="99"/>
      <c r="D78" s="110"/>
      <c r="E78" s="110"/>
      <c r="F78" s="110"/>
      <c r="G78" s="110"/>
    </row>
    <row r="79" spans="1:7" ht="15" x14ac:dyDescent="0.2">
      <c r="A79" s="391"/>
      <c r="B79" s="99"/>
      <c r="C79" s="99"/>
      <c r="D79" s="110"/>
      <c r="E79" s="110"/>
      <c r="F79" s="110"/>
      <c r="G79" s="110"/>
    </row>
    <row r="80" spans="1:7" ht="15" x14ac:dyDescent="0.2">
      <c r="A80" s="391"/>
      <c r="B80" s="99"/>
      <c r="C80" s="99"/>
      <c r="D80" s="110"/>
      <c r="E80" s="110"/>
      <c r="F80" s="110"/>
      <c r="G80" s="110"/>
    </row>
    <row r="81" spans="1:7" ht="15" x14ac:dyDescent="0.2">
      <c r="A81" s="391"/>
      <c r="B81" s="99"/>
      <c r="C81" s="99"/>
      <c r="D81" s="110"/>
      <c r="E81" s="110"/>
      <c r="F81" s="110"/>
      <c r="G81" s="110"/>
    </row>
    <row r="82" spans="1:7" ht="15" x14ac:dyDescent="0.2">
      <c r="A82" s="391"/>
      <c r="B82" s="99"/>
      <c r="C82" s="99"/>
      <c r="D82" s="110"/>
      <c r="E82" s="110"/>
      <c r="F82" s="110"/>
      <c r="G82" s="110"/>
    </row>
    <row r="83" spans="1:7" ht="15" x14ac:dyDescent="0.2">
      <c r="A83" s="391"/>
      <c r="B83" s="99"/>
      <c r="C83" s="99"/>
      <c r="D83" s="110"/>
      <c r="E83" s="110"/>
      <c r="F83" s="110"/>
      <c r="G83" s="110"/>
    </row>
    <row r="84" spans="1:7" ht="15" x14ac:dyDescent="0.2">
      <c r="A84" s="391"/>
      <c r="B84" s="99"/>
      <c r="C84" s="99"/>
      <c r="D84" s="110"/>
      <c r="E84" s="110"/>
      <c r="F84" s="110"/>
      <c r="G84" s="110"/>
    </row>
    <row r="85" spans="1:7" ht="15" x14ac:dyDescent="0.2">
      <c r="A85" s="391"/>
      <c r="B85" s="99"/>
      <c r="C85" s="99"/>
      <c r="D85" s="110"/>
      <c r="E85" s="110"/>
      <c r="F85" s="110"/>
      <c r="G85" s="110"/>
    </row>
    <row r="86" spans="1:7" ht="15" x14ac:dyDescent="0.2">
      <c r="A86" s="391"/>
      <c r="B86" s="99"/>
      <c r="C86" s="99"/>
      <c r="D86" s="110"/>
      <c r="E86" s="110"/>
      <c r="F86" s="110"/>
      <c r="G86" s="110"/>
    </row>
    <row r="87" spans="1:7" ht="15" x14ac:dyDescent="0.2">
      <c r="A87" s="391"/>
      <c r="B87" s="99"/>
      <c r="C87" s="99"/>
      <c r="D87" s="110"/>
      <c r="E87" s="110"/>
      <c r="F87" s="110"/>
      <c r="G87" s="110"/>
    </row>
    <row r="88" spans="1:7" ht="15" x14ac:dyDescent="0.2">
      <c r="A88" s="391"/>
      <c r="B88" s="99"/>
      <c r="C88" s="99"/>
      <c r="D88" s="110"/>
      <c r="E88" s="110"/>
      <c r="F88" s="110"/>
      <c r="G88" s="110"/>
    </row>
    <row r="89" spans="1:7" ht="15" x14ac:dyDescent="0.2">
      <c r="A89" s="391"/>
      <c r="B89" s="99"/>
      <c r="C89" s="99"/>
      <c r="D89" s="110"/>
      <c r="E89" s="110"/>
      <c r="F89" s="110"/>
      <c r="G89" s="110"/>
    </row>
    <row r="90" spans="1:7" ht="15" x14ac:dyDescent="0.2">
      <c r="A90" s="391"/>
      <c r="B90" s="99"/>
      <c r="C90" s="99"/>
      <c r="D90" s="110"/>
      <c r="E90" s="110"/>
      <c r="F90" s="110"/>
      <c r="G90" s="110"/>
    </row>
    <row r="91" spans="1:7" ht="15" x14ac:dyDescent="0.2">
      <c r="A91" s="391"/>
      <c r="B91" s="99"/>
      <c r="C91" s="99"/>
      <c r="D91" s="110"/>
      <c r="E91" s="110"/>
      <c r="F91" s="110"/>
      <c r="G91" s="110"/>
    </row>
    <row r="92" spans="1:7" ht="15" x14ac:dyDescent="0.2">
      <c r="A92" s="391"/>
      <c r="B92" s="99"/>
      <c r="C92" s="99"/>
      <c r="D92" s="110"/>
      <c r="E92" s="110"/>
      <c r="F92" s="110"/>
      <c r="G92" s="110"/>
    </row>
    <row r="93" spans="1:7" ht="15" x14ac:dyDescent="0.2">
      <c r="A93" s="391"/>
      <c r="B93" s="99"/>
      <c r="C93" s="99"/>
      <c r="D93" s="110"/>
      <c r="E93" s="110"/>
      <c r="F93" s="110"/>
      <c r="G93" s="110"/>
    </row>
    <row r="94" spans="1:7" ht="15" x14ac:dyDescent="0.2">
      <c r="A94" s="391"/>
      <c r="B94" s="99"/>
      <c r="C94" s="99"/>
      <c r="D94" s="110"/>
      <c r="E94" s="110"/>
      <c r="F94" s="110"/>
      <c r="G94" s="110"/>
    </row>
    <row r="95" spans="1:7" ht="15" x14ac:dyDescent="0.2">
      <c r="A95" s="391"/>
      <c r="B95" s="99"/>
      <c r="C95" s="99"/>
      <c r="D95" s="110"/>
      <c r="E95" s="110"/>
      <c r="F95" s="110"/>
      <c r="G95" s="110"/>
    </row>
    <row r="96" spans="1:7" ht="15" x14ac:dyDescent="0.2">
      <c r="A96" s="391"/>
      <c r="B96" s="99"/>
      <c r="C96" s="99"/>
      <c r="D96" s="110"/>
      <c r="E96" s="110"/>
      <c r="F96" s="110"/>
      <c r="G96" s="110"/>
    </row>
    <row r="97" spans="1:7" ht="15" x14ac:dyDescent="0.2">
      <c r="A97" s="391"/>
      <c r="B97" s="99"/>
      <c r="C97" s="99"/>
      <c r="D97" s="110"/>
      <c r="E97" s="110"/>
      <c r="F97" s="110"/>
      <c r="G97" s="110"/>
    </row>
    <row r="98" spans="1:7" ht="15" x14ac:dyDescent="0.2">
      <c r="A98" s="391"/>
      <c r="B98" s="99"/>
      <c r="C98" s="99"/>
      <c r="D98" s="110"/>
      <c r="E98" s="110"/>
      <c r="F98" s="110"/>
      <c r="G98" s="110"/>
    </row>
    <row r="99" spans="1:7" ht="15" x14ac:dyDescent="0.2">
      <c r="A99" s="391"/>
      <c r="B99" s="99"/>
      <c r="C99" s="99"/>
      <c r="D99" s="110"/>
      <c r="E99" s="110"/>
      <c r="F99" s="110"/>
      <c r="G99" s="110"/>
    </row>
    <row r="100" spans="1:7" ht="15" x14ac:dyDescent="0.2">
      <c r="A100" s="391"/>
      <c r="B100" s="99"/>
      <c r="C100" s="99"/>
      <c r="D100" s="110"/>
      <c r="E100" s="110"/>
      <c r="F100" s="110"/>
      <c r="G100" s="110"/>
    </row>
    <row r="101" spans="1:7" ht="15" x14ac:dyDescent="0.2">
      <c r="A101" s="391"/>
      <c r="B101" s="99"/>
      <c r="C101" s="99"/>
      <c r="D101" s="110"/>
      <c r="E101" s="110"/>
      <c r="F101" s="110"/>
      <c r="G101" s="110"/>
    </row>
    <row r="102" spans="1:7" ht="15" x14ac:dyDescent="0.2">
      <c r="A102" s="391"/>
      <c r="B102" s="99"/>
      <c r="C102" s="99"/>
      <c r="D102" s="110"/>
      <c r="E102" s="110"/>
      <c r="F102" s="110"/>
      <c r="G102" s="110"/>
    </row>
    <row r="103" spans="1:7" ht="15" x14ac:dyDescent="0.2">
      <c r="A103" s="391"/>
      <c r="B103" s="99"/>
      <c r="C103" s="99"/>
      <c r="D103" s="110"/>
      <c r="E103" s="110"/>
      <c r="F103" s="110"/>
      <c r="G103" s="110"/>
    </row>
    <row r="104" spans="1:7" ht="15" x14ac:dyDescent="0.2">
      <c r="A104" s="391"/>
      <c r="B104" s="99"/>
      <c r="C104" s="99"/>
      <c r="D104" s="110"/>
      <c r="E104" s="110"/>
      <c r="F104" s="110"/>
      <c r="G104" s="110"/>
    </row>
    <row r="105" spans="1:7" ht="15" x14ac:dyDescent="0.2">
      <c r="A105" s="391"/>
      <c r="B105" s="99"/>
      <c r="C105" s="99"/>
      <c r="D105" s="110"/>
      <c r="E105" s="110"/>
      <c r="F105" s="110"/>
      <c r="G105" s="110"/>
    </row>
    <row r="106" spans="1:7" ht="15" x14ac:dyDescent="0.2">
      <c r="A106" s="391"/>
      <c r="B106" s="99"/>
      <c r="C106" s="99"/>
      <c r="D106" s="110"/>
      <c r="E106" s="110"/>
      <c r="F106" s="110"/>
      <c r="G106" s="110"/>
    </row>
    <row r="107" spans="1:7" ht="15" x14ac:dyDescent="0.2">
      <c r="A107" s="391"/>
      <c r="B107" s="99"/>
      <c r="C107" s="99"/>
      <c r="D107" s="110"/>
      <c r="E107" s="110"/>
      <c r="F107" s="110"/>
      <c r="G107" s="110"/>
    </row>
    <row r="108" spans="1:7" ht="15" x14ac:dyDescent="0.2">
      <c r="A108" s="391"/>
      <c r="B108" s="99"/>
      <c r="C108" s="99"/>
      <c r="D108" s="110"/>
      <c r="E108" s="110"/>
      <c r="F108" s="110"/>
      <c r="G108" s="110"/>
    </row>
    <row r="109" spans="1:7" ht="15" x14ac:dyDescent="0.2">
      <c r="A109" s="391"/>
      <c r="B109" s="99"/>
      <c r="C109" s="99"/>
      <c r="D109" s="110"/>
      <c r="E109" s="110"/>
      <c r="F109" s="110"/>
      <c r="G109" s="110"/>
    </row>
    <row r="110" spans="1:7" ht="15" x14ac:dyDescent="0.2">
      <c r="A110" s="391"/>
      <c r="B110" s="99"/>
      <c r="C110" s="99"/>
      <c r="D110" s="110"/>
      <c r="E110" s="110"/>
      <c r="F110" s="110"/>
      <c r="G110" s="110"/>
    </row>
    <row r="111" spans="1:7" ht="15" x14ac:dyDescent="0.2">
      <c r="A111" s="391"/>
      <c r="B111" s="99"/>
      <c r="C111" s="99"/>
      <c r="D111" s="110"/>
      <c r="E111" s="110"/>
      <c r="F111" s="110"/>
      <c r="G111" s="110"/>
    </row>
    <row r="112" spans="1:7" ht="15" x14ac:dyDescent="0.2">
      <c r="A112" s="391"/>
      <c r="B112" s="99"/>
      <c r="C112" s="99"/>
      <c r="D112" s="110"/>
      <c r="E112" s="110"/>
      <c r="F112" s="110"/>
      <c r="G112" s="110"/>
    </row>
    <row r="113" spans="1:7" ht="15" x14ac:dyDescent="0.2">
      <c r="A113" s="391"/>
      <c r="B113" s="99"/>
      <c r="C113" s="99"/>
      <c r="D113" s="110"/>
      <c r="E113" s="110"/>
      <c r="F113" s="110"/>
      <c r="G113" s="110"/>
    </row>
    <row r="114" spans="1:7" ht="15" x14ac:dyDescent="0.2">
      <c r="A114" s="391"/>
      <c r="B114" s="99"/>
      <c r="C114" s="99"/>
      <c r="D114" s="110"/>
      <c r="E114" s="110"/>
      <c r="F114" s="110"/>
      <c r="G114" s="110"/>
    </row>
    <row r="115" spans="1:7" ht="15" x14ac:dyDescent="0.2">
      <c r="A115" s="391"/>
      <c r="B115" s="99"/>
      <c r="C115" s="99"/>
      <c r="D115" s="110"/>
      <c r="E115" s="110"/>
      <c r="F115" s="110"/>
      <c r="G115" s="110"/>
    </row>
    <row r="116" spans="1:7" ht="15" x14ac:dyDescent="0.2">
      <c r="A116" s="391"/>
      <c r="B116" s="99"/>
      <c r="C116" s="99"/>
      <c r="D116" s="110"/>
      <c r="E116" s="110"/>
      <c r="F116" s="110"/>
      <c r="G116" s="110"/>
    </row>
    <row r="117" spans="1:7" ht="15" x14ac:dyDescent="0.2">
      <c r="A117" s="391"/>
      <c r="B117" s="99"/>
      <c r="C117" s="99"/>
      <c r="D117" s="110"/>
      <c r="E117" s="110"/>
      <c r="F117" s="110"/>
      <c r="G117" s="110"/>
    </row>
    <row r="118" spans="1:7" ht="15" x14ac:dyDescent="0.2">
      <c r="A118" s="391"/>
      <c r="B118" s="99"/>
      <c r="C118" s="99"/>
      <c r="D118" s="110"/>
      <c r="E118" s="110"/>
      <c r="F118" s="110"/>
      <c r="G118" s="110"/>
    </row>
    <row r="119" spans="1:7" ht="15" x14ac:dyDescent="0.2">
      <c r="A119" s="391"/>
      <c r="B119" s="99"/>
      <c r="C119" s="99"/>
      <c r="D119" s="110"/>
      <c r="E119" s="110"/>
      <c r="F119" s="110"/>
      <c r="G119" s="110"/>
    </row>
    <row r="120" spans="1:7" ht="15" x14ac:dyDescent="0.2">
      <c r="A120" s="391"/>
      <c r="B120" s="99"/>
      <c r="C120" s="99"/>
      <c r="D120" s="110"/>
      <c r="E120" s="110"/>
      <c r="F120" s="110"/>
      <c r="G120" s="110"/>
    </row>
    <row r="121" spans="1:7" ht="15" x14ac:dyDescent="0.2">
      <c r="A121" s="391"/>
      <c r="B121" s="99"/>
      <c r="C121" s="99"/>
      <c r="D121" s="110"/>
      <c r="E121" s="110"/>
      <c r="F121" s="110"/>
      <c r="G121" s="110"/>
    </row>
    <row r="122" spans="1:7" ht="15" x14ac:dyDescent="0.2">
      <c r="A122" s="391"/>
      <c r="B122" s="99"/>
      <c r="C122" s="99"/>
      <c r="D122" s="110"/>
      <c r="E122" s="110"/>
      <c r="F122" s="110"/>
      <c r="G122" s="110"/>
    </row>
    <row r="123" spans="1:7" ht="15" x14ac:dyDescent="0.2">
      <c r="A123" s="391"/>
      <c r="B123" s="99"/>
      <c r="C123" s="99"/>
      <c r="D123" s="110"/>
      <c r="E123" s="110"/>
      <c r="F123" s="110"/>
      <c r="G123" s="110"/>
    </row>
    <row r="124" spans="1:7" ht="15" x14ac:dyDescent="0.2">
      <c r="A124" s="391"/>
      <c r="B124" s="99"/>
      <c r="C124" s="99"/>
      <c r="D124" s="110"/>
      <c r="E124" s="110"/>
      <c r="F124" s="110"/>
      <c r="G124" s="110"/>
    </row>
    <row r="125" spans="1:7" ht="15" x14ac:dyDescent="0.2">
      <c r="A125" s="391"/>
      <c r="B125" s="99"/>
      <c r="C125" s="99"/>
      <c r="D125" s="110"/>
      <c r="E125" s="110"/>
      <c r="F125" s="110"/>
      <c r="G125" s="110"/>
    </row>
    <row r="126" spans="1:7" ht="15" x14ac:dyDescent="0.2">
      <c r="A126" s="391"/>
      <c r="B126" s="99"/>
      <c r="C126" s="99"/>
      <c r="D126" s="110"/>
      <c r="E126" s="110"/>
      <c r="F126" s="110"/>
      <c r="G126" s="110"/>
    </row>
    <row r="127" spans="1:7" ht="15" x14ac:dyDescent="0.2">
      <c r="A127" s="391"/>
      <c r="B127" s="99"/>
      <c r="C127" s="99"/>
      <c r="D127" s="110"/>
      <c r="E127" s="110"/>
      <c r="F127" s="110"/>
      <c r="G127" s="110"/>
    </row>
    <row r="128" spans="1:7" ht="15" x14ac:dyDescent="0.2">
      <c r="A128" s="391"/>
      <c r="B128" s="99"/>
      <c r="C128" s="99"/>
      <c r="D128" s="110"/>
      <c r="E128" s="110"/>
      <c r="F128" s="110"/>
      <c r="G128" s="110"/>
    </row>
    <row r="129" spans="1:7" ht="15" x14ac:dyDescent="0.2">
      <c r="A129" s="391"/>
      <c r="B129" s="99"/>
      <c r="C129" s="99"/>
      <c r="D129" s="110"/>
      <c r="E129" s="110"/>
      <c r="F129" s="110"/>
      <c r="G129" s="110"/>
    </row>
    <row r="130" spans="1:7" ht="15" x14ac:dyDescent="0.2">
      <c r="A130" s="391"/>
      <c r="B130" s="99"/>
      <c r="C130" s="99"/>
      <c r="D130" s="110"/>
      <c r="E130" s="110"/>
      <c r="F130" s="110"/>
      <c r="G130" s="110"/>
    </row>
    <row r="131" spans="1:7" ht="15" x14ac:dyDescent="0.2">
      <c r="A131" s="391"/>
      <c r="B131" s="99"/>
      <c r="C131" s="99"/>
      <c r="D131" s="110"/>
      <c r="E131" s="110"/>
      <c r="F131" s="110"/>
      <c r="G131" s="110"/>
    </row>
    <row r="132" spans="1:7" ht="15" x14ac:dyDescent="0.2">
      <c r="A132" s="391"/>
      <c r="B132" s="99"/>
      <c r="C132" s="99"/>
      <c r="D132" s="110"/>
      <c r="E132" s="110"/>
      <c r="F132" s="110"/>
      <c r="G132" s="110"/>
    </row>
    <row r="133" spans="1:7" ht="15" x14ac:dyDescent="0.2">
      <c r="A133" s="391"/>
      <c r="B133" s="99"/>
      <c r="C133" s="99"/>
      <c r="D133" s="110"/>
      <c r="E133" s="110"/>
      <c r="F133" s="110"/>
      <c r="G133" s="110"/>
    </row>
    <row r="134" spans="1:7" ht="15" x14ac:dyDescent="0.2">
      <c r="A134" s="391"/>
      <c r="B134" s="99"/>
      <c r="C134" s="99"/>
      <c r="D134" s="110"/>
      <c r="E134" s="110"/>
      <c r="F134" s="110"/>
      <c r="G134" s="110"/>
    </row>
    <row r="135" spans="1:7" ht="15" x14ac:dyDescent="0.2">
      <c r="A135" s="391"/>
      <c r="B135" s="99"/>
      <c r="C135" s="99"/>
      <c r="D135" s="110"/>
      <c r="E135" s="110"/>
      <c r="F135" s="110"/>
      <c r="G135" s="110"/>
    </row>
    <row r="136" spans="1:7" ht="15" x14ac:dyDescent="0.2">
      <c r="A136" s="391"/>
      <c r="B136" s="99"/>
      <c r="C136" s="99"/>
      <c r="D136" s="110"/>
      <c r="E136" s="110"/>
      <c r="F136" s="110"/>
      <c r="G136" s="110"/>
    </row>
    <row r="137" spans="1:7" ht="15" x14ac:dyDescent="0.2">
      <c r="A137" s="391"/>
      <c r="B137" s="99"/>
      <c r="C137" s="99"/>
      <c r="D137" s="110"/>
      <c r="E137" s="110"/>
      <c r="F137" s="110"/>
      <c r="G137" s="110"/>
    </row>
    <row r="138" spans="1:7" ht="15" x14ac:dyDescent="0.2">
      <c r="A138" s="391"/>
      <c r="B138" s="99"/>
      <c r="C138" s="99"/>
      <c r="D138" s="110"/>
      <c r="E138" s="110"/>
      <c r="F138" s="110"/>
      <c r="G138" s="110"/>
    </row>
    <row r="139" spans="1:7" ht="15" x14ac:dyDescent="0.2">
      <c r="A139" s="391"/>
      <c r="B139" s="99"/>
      <c r="C139" s="99"/>
      <c r="D139" s="110"/>
      <c r="E139" s="110"/>
      <c r="F139" s="110"/>
      <c r="G139" s="110"/>
    </row>
    <row r="140" spans="1:7" ht="15" x14ac:dyDescent="0.2">
      <c r="A140" s="391"/>
      <c r="B140" s="99"/>
      <c r="C140" s="99"/>
      <c r="D140" s="110"/>
      <c r="E140" s="110"/>
      <c r="F140" s="110"/>
      <c r="G140" s="110"/>
    </row>
    <row r="141" spans="1:7" ht="15" x14ac:dyDescent="0.2">
      <c r="A141" s="391"/>
      <c r="B141" s="99"/>
      <c r="C141" s="99"/>
      <c r="D141" s="110"/>
      <c r="E141" s="110"/>
      <c r="F141" s="110"/>
      <c r="G141" s="110"/>
    </row>
    <row r="142" spans="1:7" ht="15" x14ac:dyDescent="0.2">
      <c r="A142" s="391"/>
      <c r="B142" s="99"/>
      <c r="C142" s="99"/>
      <c r="D142" s="110"/>
      <c r="E142" s="110"/>
      <c r="F142" s="110"/>
      <c r="G142" s="110"/>
    </row>
    <row r="143" spans="1:7" ht="15" x14ac:dyDescent="0.2">
      <c r="A143" s="391"/>
      <c r="B143" s="99"/>
      <c r="C143" s="99"/>
      <c r="D143" s="110"/>
      <c r="E143" s="110"/>
      <c r="F143" s="110"/>
      <c r="G143" s="110"/>
    </row>
    <row r="144" spans="1:7" ht="15" x14ac:dyDescent="0.2">
      <c r="A144" s="391"/>
      <c r="B144" s="99"/>
      <c r="C144" s="99"/>
      <c r="D144" s="110"/>
      <c r="E144" s="110"/>
      <c r="F144" s="110"/>
      <c r="G144" s="110"/>
    </row>
    <row r="145" spans="1:7" ht="15" x14ac:dyDescent="0.2">
      <c r="A145" s="391"/>
      <c r="B145" s="99"/>
      <c r="C145" s="99"/>
      <c r="D145" s="110"/>
      <c r="E145" s="110"/>
      <c r="F145" s="110"/>
      <c r="G145" s="110"/>
    </row>
    <row r="146" spans="1:7" ht="15" x14ac:dyDescent="0.2">
      <c r="A146" s="391"/>
      <c r="B146" s="99"/>
      <c r="C146" s="99"/>
      <c r="D146" s="110"/>
      <c r="E146" s="110"/>
      <c r="F146" s="110"/>
      <c r="G146" s="110"/>
    </row>
    <row r="147" spans="1:7" x14ac:dyDescent="0.2">
      <c r="D147" s="123"/>
      <c r="E147" s="123"/>
      <c r="F147" s="123"/>
      <c r="G147" s="123"/>
    </row>
    <row r="148" spans="1:7" x14ac:dyDescent="0.2">
      <c r="D148" s="123"/>
      <c r="E148" s="123"/>
      <c r="F148" s="123"/>
      <c r="G148" s="123"/>
    </row>
    <row r="149" spans="1:7" x14ac:dyDescent="0.2">
      <c r="D149" s="123"/>
      <c r="E149" s="123"/>
      <c r="F149" s="123"/>
      <c r="G149" s="123"/>
    </row>
    <row r="150" spans="1:7" x14ac:dyDescent="0.2">
      <c r="D150" s="123"/>
      <c r="E150" s="123"/>
      <c r="F150" s="123"/>
      <c r="G150" s="123"/>
    </row>
    <row r="151" spans="1:7" x14ac:dyDescent="0.2">
      <c r="D151" s="123"/>
      <c r="E151" s="123"/>
      <c r="F151" s="123"/>
      <c r="G151" s="123"/>
    </row>
    <row r="152" spans="1:7" x14ac:dyDescent="0.2">
      <c r="D152" s="123"/>
      <c r="E152" s="123"/>
      <c r="F152" s="123"/>
      <c r="G152" s="123"/>
    </row>
    <row r="153" spans="1:7" x14ac:dyDescent="0.2">
      <c r="D153" s="123"/>
      <c r="E153" s="123"/>
      <c r="F153" s="123"/>
      <c r="G153" s="123"/>
    </row>
    <row r="154" spans="1:7" x14ac:dyDescent="0.2">
      <c r="D154" s="123"/>
      <c r="E154" s="123"/>
      <c r="F154" s="123"/>
      <c r="G154" s="123"/>
    </row>
    <row r="155" spans="1:7" x14ac:dyDescent="0.2">
      <c r="D155" s="123"/>
      <c r="E155" s="123"/>
      <c r="F155" s="123"/>
      <c r="G155" s="123"/>
    </row>
    <row r="156" spans="1:7" x14ac:dyDescent="0.2">
      <c r="D156" s="123"/>
      <c r="E156" s="123"/>
      <c r="F156" s="123"/>
      <c r="G156" s="123"/>
    </row>
    <row r="157" spans="1:7" x14ac:dyDescent="0.2">
      <c r="D157" s="123"/>
      <c r="E157" s="123"/>
      <c r="F157" s="123"/>
      <c r="G157" s="123"/>
    </row>
    <row r="158" spans="1:7" x14ac:dyDescent="0.2">
      <c r="D158" s="123"/>
      <c r="E158" s="123"/>
      <c r="F158" s="123"/>
      <c r="G158" s="123"/>
    </row>
    <row r="159" spans="1:7" x14ac:dyDescent="0.2">
      <c r="D159" s="123"/>
      <c r="E159" s="123"/>
      <c r="F159" s="123"/>
      <c r="G159" s="123"/>
    </row>
    <row r="160" spans="1:7" x14ac:dyDescent="0.2">
      <c r="D160" s="123"/>
      <c r="E160" s="123"/>
      <c r="F160" s="123"/>
      <c r="G160" s="123"/>
    </row>
    <row r="161" spans="4:7" x14ac:dyDescent="0.2">
      <c r="D161" s="123"/>
      <c r="E161" s="123"/>
      <c r="F161" s="123"/>
      <c r="G161" s="123"/>
    </row>
    <row r="162" spans="4:7" x14ac:dyDescent="0.2">
      <c r="D162" s="123"/>
      <c r="E162" s="123"/>
      <c r="F162" s="123"/>
      <c r="G162" s="123"/>
    </row>
    <row r="163" spans="4:7" x14ac:dyDescent="0.2">
      <c r="D163" s="123"/>
      <c r="E163" s="123"/>
      <c r="F163" s="123"/>
      <c r="G163" s="123"/>
    </row>
    <row r="164" spans="4:7" x14ac:dyDescent="0.2">
      <c r="D164" s="123"/>
      <c r="E164" s="123"/>
      <c r="F164" s="123"/>
      <c r="G164" s="123"/>
    </row>
    <row r="165" spans="4:7" x14ac:dyDescent="0.2">
      <c r="D165" s="123"/>
      <c r="E165" s="123"/>
      <c r="F165" s="123"/>
      <c r="G165" s="123"/>
    </row>
    <row r="166" spans="4:7" x14ac:dyDescent="0.2">
      <c r="D166" s="123"/>
      <c r="E166" s="123"/>
      <c r="F166" s="123"/>
      <c r="G166" s="123"/>
    </row>
    <row r="167" spans="4:7" x14ac:dyDescent="0.2">
      <c r="D167" s="123"/>
      <c r="E167" s="123"/>
      <c r="F167" s="123"/>
      <c r="G167" s="123"/>
    </row>
    <row r="168" spans="4:7" x14ac:dyDescent="0.2">
      <c r="D168" s="123"/>
      <c r="E168" s="123"/>
      <c r="F168" s="123"/>
      <c r="G168" s="123"/>
    </row>
    <row r="169" spans="4:7" x14ac:dyDescent="0.2">
      <c r="D169" s="123"/>
      <c r="E169" s="123"/>
      <c r="F169" s="123"/>
      <c r="G169" s="123"/>
    </row>
    <row r="170" spans="4:7" x14ac:dyDescent="0.2">
      <c r="D170" s="123"/>
      <c r="E170" s="123"/>
      <c r="F170" s="123"/>
      <c r="G170" s="123"/>
    </row>
    <row r="171" spans="4:7" x14ac:dyDescent="0.2">
      <c r="D171" s="123"/>
      <c r="E171" s="123"/>
      <c r="F171" s="123"/>
      <c r="G171" s="123"/>
    </row>
    <row r="172" spans="4:7" x14ac:dyDescent="0.2">
      <c r="D172" s="123"/>
      <c r="E172" s="123"/>
      <c r="F172" s="123"/>
      <c r="G172" s="123"/>
    </row>
    <row r="173" spans="4:7" x14ac:dyDescent="0.2">
      <c r="D173" s="123"/>
      <c r="E173" s="123"/>
      <c r="F173" s="123"/>
      <c r="G173" s="123"/>
    </row>
    <row r="174" spans="4:7" x14ac:dyDescent="0.2">
      <c r="D174" s="123"/>
      <c r="E174" s="123"/>
      <c r="F174" s="123"/>
      <c r="G174" s="123"/>
    </row>
    <row r="175" spans="4:7" x14ac:dyDescent="0.2">
      <c r="D175" s="123"/>
      <c r="E175" s="123"/>
      <c r="F175" s="123"/>
      <c r="G175" s="123"/>
    </row>
    <row r="176" spans="4:7" x14ac:dyDescent="0.2">
      <c r="D176" s="123"/>
      <c r="E176" s="123"/>
      <c r="F176" s="123"/>
      <c r="G176" s="123"/>
    </row>
    <row r="177" spans="4:7" x14ac:dyDescent="0.2">
      <c r="D177" s="123"/>
      <c r="E177" s="123"/>
      <c r="F177" s="123"/>
      <c r="G177" s="123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31496062992125984" right="0.31496062992125984" top="0.43307086614173229" bottom="0.39370078740157483" header="0.51181102362204722" footer="0.15748031496062992"/>
  <pageSetup paperSize="9" scale="78" firstPageNumber="65" orientation="portrait" r:id="rId1"/>
  <headerFooter alignWithMargins="0">
    <oddFooter>&amp;C- &amp;P 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30" workbookViewId="0">
      <selection activeCell="I24" sqref="I24"/>
    </sheetView>
  </sheetViews>
  <sheetFormatPr defaultRowHeight="12.75" x14ac:dyDescent="0.2"/>
  <cols>
    <col min="1" max="1" width="9.6640625" style="75" customWidth="1"/>
    <col min="2" max="2" width="9.6640625" style="76" customWidth="1"/>
    <col min="3" max="3" width="70.33203125" style="76" customWidth="1"/>
    <col min="4" max="6" width="14.1640625" style="76" customWidth="1"/>
    <col min="7" max="7" width="9.83203125" style="76" customWidth="1"/>
    <col min="8" max="8" width="9.33203125" style="76" customWidth="1"/>
    <col min="9" max="16384" width="9.33203125" style="76"/>
  </cols>
  <sheetData>
    <row r="1" spans="1:7" s="326" customFormat="1" ht="21" customHeight="1" x14ac:dyDescent="0.2">
      <c r="A1" s="323"/>
      <c r="B1" s="324"/>
      <c r="C1" s="342"/>
      <c r="D1" s="1553" t="s">
        <v>520</v>
      </c>
      <c r="E1" s="1553"/>
      <c r="F1" s="1553"/>
      <c r="G1" s="1553"/>
    </row>
    <row r="2" spans="1:7" s="79" customFormat="1" ht="31.5" customHeight="1" x14ac:dyDescent="0.2">
      <c r="A2" s="1554" t="s">
        <v>495</v>
      </c>
      <c r="B2" s="1554"/>
      <c r="C2" s="77" t="s">
        <v>496</v>
      </c>
      <c r="D2" s="1523" t="s">
        <v>1024</v>
      </c>
      <c r="E2" s="343"/>
      <c r="F2" s="1523" t="s">
        <v>1420</v>
      </c>
      <c r="G2" s="343"/>
    </row>
    <row r="3" spans="1:7" s="79" customFormat="1" ht="30" customHeight="1" x14ac:dyDescent="0.2">
      <c r="A3" s="1555" t="s">
        <v>122</v>
      </c>
      <c r="B3" s="1555"/>
      <c r="C3" s="80" t="s">
        <v>521</v>
      </c>
      <c r="D3" s="1524"/>
      <c r="E3" s="327"/>
      <c r="F3" s="1524"/>
      <c r="G3" s="327"/>
    </row>
    <row r="4" spans="1:7" s="83" customFormat="1" ht="15.95" customHeight="1" x14ac:dyDescent="0.25">
      <c r="A4" s="81"/>
      <c r="B4" s="81"/>
      <c r="C4" s="81"/>
      <c r="D4" s="1527"/>
      <c r="E4" s="1527"/>
      <c r="F4" s="1527"/>
      <c r="G4" s="82" t="s">
        <v>79</v>
      </c>
    </row>
    <row r="5" spans="1:7" ht="38.25" customHeight="1" x14ac:dyDescent="0.2">
      <c r="A5" s="1528" t="s">
        <v>124</v>
      </c>
      <c r="B5" s="1528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</v>
      </c>
    </row>
    <row r="6" spans="1:7" s="89" customFormat="1" ht="15" customHeight="1" x14ac:dyDescent="0.2">
      <c r="A6" s="84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</row>
    <row r="7" spans="1:7" s="89" customFormat="1" ht="15" customHeight="1" x14ac:dyDescent="0.2">
      <c r="A7" s="350"/>
      <c r="B7" s="351"/>
      <c r="C7" s="351" t="s">
        <v>81</v>
      </c>
      <c r="D7" s="352"/>
      <c r="E7" s="352"/>
      <c r="F7" s="352"/>
      <c r="G7" s="352"/>
    </row>
    <row r="8" spans="1:7" s="96" customFormat="1" ht="15" customHeight="1" x14ac:dyDescent="0.2">
      <c r="A8" s="93" t="s">
        <v>2</v>
      </c>
      <c r="B8" s="94"/>
      <c r="C8" s="95" t="s">
        <v>497</v>
      </c>
      <c r="D8" s="357">
        <f>SUM(D9:D16)</f>
        <v>0</v>
      </c>
      <c r="E8" s="357">
        <f t="shared" ref="E8:F8" si="0">SUM(E9:E16)</f>
        <v>0</v>
      </c>
      <c r="F8" s="357">
        <f t="shared" si="0"/>
        <v>0</v>
      </c>
      <c r="G8" s="357"/>
    </row>
    <row r="9" spans="1:7" s="96" customFormat="1" ht="15" customHeight="1" x14ac:dyDescent="0.2">
      <c r="A9" s="102"/>
      <c r="B9" s="98" t="s">
        <v>50</v>
      </c>
      <c r="C9" s="4" t="s">
        <v>14</v>
      </c>
      <c r="D9" s="358"/>
      <c r="E9" s="358"/>
      <c r="F9" s="358"/>
      <c r="G9" s="358"/>
    </row>
    <row r="10" spans="1:7" s="96" customFormat="1" ht="15" customHeight="1" x14ac:dyDescent="0.2">
      <c r="A10" s="97"/>
      <c r="B10" s="98" t="s">
        <v>52</v>
      </c>
      <c r="C10" s="3" t="s">
        <v>16</v>
      </c>
      <c r="D10" s="359"/>
      <c r="E10" s="359"/>
      <c r="F10" s="359"/>
      <c r="G10" s="359"/>
    </row>
    <row r="11" spans="1:7" s="96" customFormat="1" ht="15" customHeight="1" x14ac:dyDescent="0.2">
      <c r="A11" s="97"/>
      <c r="B11" s="98" t="s">
        <v>54</v>
      </c>
      <c r="C11" s="3" t="s">
        <v>18</v>
      </c>
      <c r="D11" s="359"/>
      <c r="E11" s="359"/>
      <c r="F11" s="359"/>
      <c r="G11" s="359"/>
    </row>
    <row r="12" spans="1:7" s="96" customFormat="1" ht="15" customHeight="1" x14ac:dyDescent="0.2">
      <c r="A12" s="97"/>
      <c r="B12" s="98" t="s">
        <v>56</v>
      </c>
      <c r="C12" s="3" t="s">
        <v>20</v>
      </c>
      <c r="D12" s="359"/>
      <c r="E12" s="359"/>
      <c r="F12" s="359"/>
      <c r="G12" s="359"/>
    </row>
    <row r="13" spans="1:7" s="96" customFormat="1" ht="15" customHeight="1" x14ac:dyDescent="0.2">
      <c r="A13" s="97"/>
      <c r="B13" s="98" t="s">
        <v>227</v>
      </c>
      <c r="C13" s="5" t="s">
        <v>22</v>
      </c>
      <c r="D13" s="359"/>
      <c r="E13" s="359"/>
      <c r="F13" s="359"/>
      <c r="G13" s="359"/>
    </row>
    <row r="14" spans="1:7" s="96" customFormat="1" ht="15" customHeight="1" x14ac:dyDescent="0.2">
      <c r="A14" s="100"/>
      <c r="B14" s="98" t="s">
        <v>228</v>
      </c>
      <c r="C14" s="3" t="s">
        <v>24</v>
      </c>
      <c r="D14" s="360"/>
      <c r="E14" s="360"/>
      <c r="F14" s="360"/>
      <c r="G14" s="360"/>
    </row>
    <row r="15" spans="1:7" s="99" customFormat="1" ht="15" customHeight="1" x14ac:dyDescent="0.2">
      <c r="A15" s="97"/>
      <c r="B15" s="98" t="s">
        <v>230</v>
      </c>
      <c r="C15" s="3" t="s">
        <v>25</v>
      </c>
      <c r="D15" s="359"/>
      <c r="E15" s="359"/>
      <c r="F15" s="359"/>
      <c r="G15" s="359"/>
    </row>
    <row r="16" spans="1:7" s="99" customFormat="1" ht="15" customHeight="1" x14ac:dyDescent="0.2">
      <c r="A16" s="104"/>
      <c r="B16" s="105" t="s">
        <v>232</v>
      </c>
      <c r="C16" s="5" t="s">
        <v>26</v>
      </c>
      <c r="D16" s="361"/>
      <c r="E16" s="361"/>
      <c r="F16" s="361"/>
      <c r="G16" s="361"/>
    </row>
    <row r="17" spans="1:9" s="96" customFormat="1" ht="15" customHeight="1" x14ac:dyDescent="0.2">
      <c r="A17" s="93" t="s">
        <v>3</v>
      </c>
      <c r="B17" s="94"/>
      <c r="C17" s="120" t="s">
        <v>1222</v>
      </c>
      <c r="D17" s="357">
        <f>SUM(D18:D21)</f>
        <v>20643</v>
      </c>
      <c r="E17" s="357">
        <f t="shared" ref="E17:F17" si="1">SUM(E18:E21)</f>
        <v>70449</v>
      </c>
      <c r="F17" s="357">
        <f t="shared" si="1"/>
        <v>0</v>
      </c>
      <c r="G17" s="357">
        <f>F17/E17*100</f>
        <v>0</v>
      </c>
    </row>
    <row r="18" spans="1:9" s="99" customFormat="1" ht="15" customHeight="1" x14ac:dyDescent="0.2">
      <c r="A18" s="97"/>
      <c r="B18" s="98" t="s">
        <v>4</v>
      </c>
      <c r="C18" s="7" t="s">
        <v>1223</v>
      </c>
      <c r="D18" s="359">
        <v>20643</v>
      </c>
      <c r="E18" s="359">
        <v>70449</v>
      </c>
      <c r="F18" s="359"/>
      <c r="G18" s="359">
        <f>F18/E18*100</f>
        <v>0</v>
      </c>
    </row>
    <row r="19" spans="1:9" s="99" customFormat="1" ht="15" customHeight="1" x14ac:dyDescent="0.2">
      <c r="A19" s="97"/>
      <c r="B19" s="98" t="s">
        <v>6</v>
      </c>
      <c r="C19" s="3" t="s">
        <v>1224</v>
      </c>
      <c r="D19" s="359"/>
      <c r="E19" s="359"/>
      <c r="F19" s="359"/>
      <c r="G19" s="359"/>
    </row>
    <row r="20" spans="1:9" s="99" customFormat="1" ht="15" customHeight="1" x14ac:dyDescent="0.2">
      <c r="A20" s="97"/>
      <c r="B20" s="98" t="s">
        <v>7</v>
      </c>
      <c r="C20" s="3" t="s">
        <v>501</v>
      </c>
      <c r="D20" s="359"/>
      <c r="E20" s="359"/>
      <c r="F20" s="359"/>
      <c r="G20" s="359"/>
    </row>
    <row r="21" spans="1:9" s="99" customFormat="1" ht="15" customHeight="1" x14ac:dyDescent="0.2">
      <c r="A21" s="97"/>
      <c r="B21" s="98" t="s">
        <v>8</v>
      </c>
      <c r="C21" s="3" t="s">
        <v>502</v>
      </c>
      <c r="D21" s="359"/>
      <c r="E21" s="359"/>
      <c r="F21" s="359"/>
      <c r="G21" s="359"/>
    </row>
    <row r="22" spans="1:9" s="99" customFormat="1" ht="15" customHeight="1" x14ac:dyDescent="0.2">
      <c r="A22" s="93" t="s">
        <v>12</v>
      </c>
      <c r="B22" s="2"/>
      <c r="C22" s="2" t="s">
        <v>503</v>
      </c>
      <c r="D22" s="362"/>
      <c r="E22" s="362"/>
      <c r="F22" s="362"/>
      <c r="G22" s="362"/>
    </row>
    <row r="23" spans="1:9" s="99" customFormat="1" ht="15" customHeight="1" x14ac:dyDescent="0.2">
      <c r="A23" s="93" t="s">
        <v>68</v>
      </c>
      <c r="B23" s="2"/>
      <c r="C23" s="2" t="s">
        <v>504</v>
      </c>
      <c r="D23" s="359"/>
      <c r="E23" s="359"/>
      <c r="F23" s="359"/>
      <c r="G23" s="359"/>
    </row>
    <row r="24" spans="1:9" s="96" customFormat="1" ht="15" customHeight="1" x14ac:dyDescent="0.2">
      <c r="A24" s="93" t="s">
        <v>27</v>
      </c>
      <c r="B24" s="94"/>
      <c r="C24" s="2" t="s">
        <v>505</v>
      </c>
      <c r="D24" s="359"/>
      <c r="E24" s="359"/>
      <c r="F24" s="359"/>
      <c r="G24" s="359"/>
    </row>
    <row r="25" spans="1:9" s="96" customFormat="1" ht="15" customHeight="1" x14ac:dyDescent="0.2">
      <c r="A25" s="93" t="s">
        <v>32</v>
      </c>
      <c r="B25" s="115"/>
      <c r="C25" s="2" t="s">
        <v>506</v>
      </c>
      <c r="D25" s="363">
        <f>+D26+D27</f>
        <v>0</v>
      </c>
      <c r="E25" s="363">
        <f t="shared" ref="E25:F25" si="2">+E26+E27</f>
        <v>0</v>
      </c>
      <c r="F25" s="363">
        <f t="shared" si="2"/>
        <v>0</v>
      </c>
      <c r="G25" s="363"/>
    </row>
    <row r="26" spans="1:9" s="96" customFormat="1" ht="15" customHeight="1" x14ac:dyDescent="0.2">
      <c r="A26" s="102"/>
      <c r="B26" s="108" t="s">
        <v>33</v>
      </c>
      <c r="C26" s="4" t="s">
        <v>507</v>
      </c>
      <c r="D26" s="359"/>
      <c r="E26" s="359"/>
      <c r="F26" s="359"/>
      <c r="G26" s="359"/>
    </row>
    <row r="27" spans="1:9" s="96" customFormat="1" ht="15" customHeight="1" x14ac:dyDescent="0.2">
      <c r="A27" s="111"/>
      <c r="B27" s="112" t="s">
        <v>35</v>
      </c>
      <c r="C27" s="6" t="s">
        <v>508</v>
      </c>
      <c r="D27" s="359"/>
      <c r="E27" s="359"/>
      <c r="F27" s="359"/>
      <c r="G27" s="359"/>
    </row>
    <row r="28" spans="1:9" s="99" customFormat="1" ht="15" customHeight="1" x14ac:dyDescent="0.25">
      <c r="A28" s="116" t="s">
        <v>74</v>
      </c>
      <c r="B28" s="117"/>
      <c r="C28" s="2" t="s">
        <v>130</v>
      </c>
      <c r="D28" s="359">
        <v>23486</v>
      </c>
      <c r="E28" s="359">
        <v>23486</v>
      </c>
      <c r="F28" s="359"/>
      <c r="G28" s="359">
        <f>F28/E28*100</f>
        <v>0</v>
      </c>
      <c r="I28" s="110">
        <f>SUM(D46-D30)</f>
        <v>0</v>
      </c>
    </row>
    <row r="29" spans="1:9" s="99" customFormat="1" ht="15" customHeight="1" x14ac:dyDescent="0.25">
      <c r="A29" s="116"/>
      <c r="B29" s="117"/>
      <c r="C29" s="2" t="s">
        <v>509</v>
      </c>
      <c r="D29" s="119"/>
      <c r="E29" s="119"/>
      <c r="F29" s="119"/>
      <c r="G29" s="119"/>
    </row>
    <row r="30" spans="1:9" s="99" customFormat="1" ht="15.75" customHeight="1" x14ac:dyDescent="0.2">
      <c r="A30" s="150" t="s">
        <v>38</v>
      </c>
      <c r="B30" s="151"/>
      <c r="C30" s="354" t="s">
        <v>510</v>
      </c>
      <c r="D30" s="152">
        <f>SUM(D8,D17,D22,D23,D24,D25,D28)</f>
        <v>44129</v>
      </c>
      <c r="E30" s="152">
        <f t="shared" ref="E30:F30" si="3">SUM(E8,E17,E22,E23,E24,E25,E28)</f>
        <v>93935</v>
      </c>
      <c r="F30" s="152">
        <f t="shared" si="3"/>
        <v>0</v>
      </c>
      <c r="G30" s="152">
        <f>F30/E30*100</f>
        <v>0</v>
      </c>
    </row>
    <row r="31" spans="1:9" s="99" customFormat="1" ht="15" customHeight="1" x14ac:dyDescent="0.2">
      <c r="A31" s="364"/>
      <c r="B31" s="364"/>
      <c r="C31" s="365"/>
      <c r="D31" s="366"/>
      <c r="E31" s="366"/>
      <c r="F31" s="366"/>
      <c r="G31" s="366"/>
    </row>
    <row r="32" spans="1:9" s="89" customFormat="1" ht="15" customHeight="1" x14ac:dyDescent="0.2">
      <c r="A32" s="350"/>
      <c r="B32" s="351"/>
      <c r="C32" s="351" t="s">
        <v>82</v>
      </c>
      <c r="D32" s="352"/>
      <c r="E32" s="352"/>
      <c r="F32" s="352"/>
      <c r="G32" s="352"/>
    </row>
    <row r="33" spans="1:7" s="125" customFormat="1" ht="15" customHeight="1" x14ac:dyDescent="0.2">
      <c r="A33" s="84" t="s">
        <v>2</v>
      </c>
      <c r="B33" s="367"/>
      <c r="C33" s="368" t="s">
        <v>522</v>
      </c>
      <c r="D33" s="357">
        <f>SUM(D34:D38)</f>
        <v>44129</v>
      </c>
      <c r="E33" s="357">
        <f t="shared" ref="E33:F33" si="4">SUM(E34:E38)</f>
        <v>93935</v>
      </c>
      <c r="F33" s="357">
        <f t="shared" si="4"/>
        <v>0</v>
      </c>
      <c r="G33" s="357">
        <f t="shared" ref="G33:G38" si="5">F33/E33*100</f>
        <v>0</v>
      </c>
    </row>
    <row r="34" spans="1:7" ht="15" customHeight="1" x14ac:dyDescent="0.2">
      <c r="A34" s="369"/>
      <c r="B34" s="370" t="s">
        <v>50</v>
      </c>
      <c r="C34" s="371" t="s">
        <v>51</v>
      </c>
      <c r="D34" s="372">
        <v>13430</v>
      </c>
      <c r="E34" s="372">
        <v>13430</v>
      </c>
      <c r="F34" s="372"/>
      <c r="G34" s="372">
        <f t="shared" si="5"/>
        <v>0</v>
      </c>
    </row>
    <row r="35" spans="1:7" ht="15" customHeight="1" x14ac:dyDescent="0.2">
      <c r="A35" s="373"/>
      <c r="B35" s="374" t="s">
        <v>52</v>
      </c>
      <c r="C35" s="375" t="s">
        <v>53</v>
      </c>
      <c r="D35" s="359">
        <v>3570</v>
      </c>
      <c r="E35" s="359">
        <v>3570</v>
      </c>
      <c r="F35" s="359"/>
      <c r="G35" s="359">
        <f t="shared" si="5"/>
        <v>0</v>
      </c>
    </row>
    <row r="36" spans="1:7" ht="15" customHeight="1" x14ac:dyDescent="0.2">
      <c r="A36" s="373"/>
      <c r="B36" s="374" t="s">
        <v>54</v>
      </c>
      <c r="C36" s="375" t="s">
        <v>55</v>
      </c>
      <c r="D36" s="359">
        <v>4129</v>
      </c>
      <c r="E36" s="359">
        <v>4129</v>
      </c>
      <c r="F36" s="359"/>
      <c r="G36" s="359">
        <f t="shared" si="5"/>
        <v>0</v>
      </c>
    </row>
    <row r="37" spans="1:7" ht="15" customHeight="1" x14ac:dyDescent="0.2">
      <c r="A37" s="373"/>
      <c r="B37" s="374" t="s">
        <v>56</v>
      </c>
      <c r="C37" s="3" t="s">
        <v>131</v>
      </c>
      <c r="D37" s="359">
        <v>23000</v>
      </c>
      <c r="E37" s="359">
        <v>72806</v>
      </c>
      <c r="F37" s="359"/>
      <c r="G37" s="359">
        <f t="shared" si="5"/>
        <v>0</v>
      </c>
    </row>
    <row r="38" spans="1:7" ht="15" customHeight="1" x14ac:dyDescent="0.2">
      <c r="A38" s="373"/>
      <c r="B38" s="374" t="s">
        <v>58</v>
      </c>
      <c r="C38" s="375" t="s">
        <v>59</v>
      </c>
      <c r="D38" s="359"/>
      <c r="E38" s="359"/>
      <c r="F38" s="359"/>
      <c r="G38" s="359" t="e">
        <f t="shared" si="5"/>
        <v>#DIV/0!</v>
      </c>
    </row>
    <row r="39" spans="1:7" ht="15" customHeight="1" x14ac:dyDescent="0.2">
      <c r="A39" s="84" t="s">
        <v>3</v>
      </c>
      <c r="B39" s="367"/>
      <c r="C39" s="368" t="s">
        <v>523</v>
      </c>
      <c r="D39" s="357">
        <f>SUM(D40:D43)</f>
        <v>0</v>
      </c>
      <c r="E39" s="357">
        <f t="shared" ref="E39:F39" si="6">SUM(E40:E43)</f>
        <v>0</v>
      </c>
      <c r="F39" s="357">
        <f t="shared" si="6"/>
        <v>0</v>
      </c>
      <c r="G39" s="357"/>
    </row>
    <row r="40" spans="1:7" s="125" customFormat="1" ht="15" customHeight="1" x14ac:dyDescent="0.2">
      <c r="A40" s="369"/>
      <c r="B40" s="370" t="s">
        <v>4</v>
      </c>
      <c r="C40" s="371" t="s">
        <v>512</v>
      </c>
      <c r="D40" s="372"/>
      <c r="E40" s="372"/>
      <c r="F40" s="372"/>
      <c r="G40" s="372"/>
    </row>
    <row r="41" spans="1:7" ht="15" customHeight="1" x14ac:dyDescent="0.2">
      <c r="A41" s="373"/>
      <c r="B41" s="374" t="s">
        <v>6</v>
      </c>
      <c r="C41" s="375" t="s">
        <v>64</v>
      </c>
      <c r="D41" s="359"/>
      <c r="E41" s="359"/>
      <c r="F41" s="359"/>
      <c r="G41" s="359"/>
    </row>
    <row r="42" spans="1:7" ht="32.25" customHeight="1" x14ac:dyDescent="0.2">
      <c r="A42" s="373"/>
      <c r="B42" s="374" t="s">
        <v>9</v>
      </c>
      <c r="C42" s="375" t="s">
        <v>65</v>
      </c>
      <c r="D42" s="359"/>
      <c r="E42" s="359"/>
      <c r="F42" s="359"/>
      <c r="G42" s="359"/>
    </row>
    <row r="43" spans="1:7" ht="15" customHeight="1" x14ac:dyDescent="0.2">
      <c r="A43" s="373"/>
      <c r="B43" s="374" t="s">
        <v>11</v>
      </c>
      <c r="C43" s="375" t="s">
        <v>513</v>
      </c>
      <c r="D43" s="359"/>
      <c r="E43" s="359"/>
      <c r="F43" s="359"/>
      <c r="G43" s="359"/>
    </row>
    <row r="44" spans="1:7" ht="15" customHeight="1" x14ac:dyDescent="0.2">
      <c r="A44" s="84" t="s">
        <v>12</v>
      </c>
      <c r="B44" s="367"/>
      <c r="C44" s="368" t="s">
        <v>514</v>
      </c>
      <c r="D44" s="362"/>
      <c r="E44" s="362"/>
      <c r="F44" s="362"/>
      <c r="G44" s="362"/>
    </row>
    <row r="45" spans="1:7" s="99" customFormat="1" ht="15" customHeight="1" x14ac:dyDescent="0.2">
      <c r="A45" s="93"/>
      <c r="B45" s="2"/>
      <c r="C45" s="10" t="s">
        <v>515</v>
      </c>
      <c r="D45" s="119"/>
      <c r="E45" s="119"/>
      <c r="F45" s="119"/>
      <c r="G45" s="119"/>
    </row>
    <row r="46" spans="1:7" ht="15" customHeight="1" x14ac:dyDescent="0.2">
      <c r="A46" s="150" t="s">
        <v>68</v>
      </c>
      <c r="B46" s="151"/>
      <c r="C46" s="354" t="s">
        <v>516</v>
      </c>
      <c r="D46" s="152">
        <f>+D33+D39+D44</f>
        <v>44129</v>
      </c>
      <c r="E46" s="152">
        <f t="shared" ref="E46:F46" si="7">+E33+E39+E44</f>
        <v>93935</v>
      </c>
      <c r="F46" s="152">
        <f t="shared" si="7"/>
        <v>0</v>
      </c>
      <c r="G46" s="152">
        <f>F46/E46*100</f>
        <v>0</v>
      </c>
    </row>
    <row r="47" spans="1:7" ht="15" customHeight="1" x14ac:dyDescent="0.2">
      <c r="A47" s="376"/>
      <c r="B47" s="377"/>
      <c r="C47" s="377"/>
      <c r="D47" s="377"/>
      <c r="E47" s="377"/>
      <c r="F47" s="377"/>
      <c r="G47" s="377"/>
    </row>
    <row r="48" spans="1:7" ht="15" customHeight="1" x14ac:dyDescent="0.2">
      <c r="A48" s="378" t="s">
        <v>136</v>
      </c>
      <c r="B48" s="379"/>
      <c r="C48" s="380"/>
      <c r="D48" s="381">
        <v>3</v>
      </c>
      <c r="E48" s="381">
        <v>3</v>
      </c>
      <c r="F48" s="381">
        <v>3</v>
      </c>
      <c r="G48" s="381"/>
    </row>
    <row r="49" spans="1:7" ht="15" customHeight="1" x14ac:dyDescent="0.2">
      <c r="A49" s="378" t="s">
        <v>137</v>
      </c>
      <c r="B49" s="379"/>
      <c r="C49" s="380"/>
      <c r="D49" s="381"/>
      <c r="E49" s="381"/>
      <c r="F49" s="381"/>
      <c r="G49" s="381"/>
    </row>
  </sheetData>
  <sheetProtection selectLockedCells="1" selectUnlockedCells="1"/>
  <mergeCells count="7">
    <mergeCell ref="D1:G1"/>
    <mergeCell ref="A2:B2"/>
    <mergeCell ref="A3:B3"/>
    <mergeCell ref="D4:F4"/>
    <mergeCell ref="A5:B5"/>
    <mergeCell ref="D2:D3"/>
    <mergeCell ref="F2:F3"/>
  </mergeCells>
  <printOptions horizontalCentered="1"/>
  <pageMargins left="0.23622047244094491" right="0.27559055118110237" top="0.27559055118110237" bottom="0.47244094488188981" header="0.15748031496062992" footer="0.23622047244094491"/>
  <pageSetup paperSize="9" scale="77" firstPageNumber="63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98</vt:i4>
      </vt:variant>
      <vt:variant>
        <vt:lpstr>Névvel ellátott tartományok</vt:lpstr>
      </vt:variant>
      <vt:variant>
        <vt:i4>164</vt:i4>
      </vt:variant>
    </vt:vector>
  </HeadingPairs>
  <TitlesOfParts>
    <vt:vector size="262" baseType="lpstr">
      <vt:lpstr>1.sz.mell.</vt:lpstr>
      <vt:lpstr>1.1.sz.mell  </vt:lpstr>
      <vt:lpstr>1.2.sz.mell  </vt:lpstr>
      <vt:lpstr>2. sz. mell</vt:lpstr>
      <vt:lpstr>2.a sz. mell</vt:lpstr>
      <vt:lpstr>2.b sz. mell</vt:lpstr>
      <vt:lpstr>2.c sz. mell </vt:lpstr>
      <vt:lpstr>3. sz. mell</vt:lpstr>
      <vt:lpstr>3. a. sz. mell</vt:lpstr>
      <vt:lpstr>3.b. sz. mell</vt:lpstr>
      <vt:lpstr>3.c. sz. mell </vt:lpstr>
      <vt:lpstr>3.1.asz.melléklet</vt:lpstr>
      <vt:lpstr>3.2.sz.melléklet</vt:lpstr>
      <vt:lpstr>4. sz. mell.</vt:lpstr>
      <vt:lpstr>4.a. sz. mell.</vt:lpstr>
      <vt:lpstr>4. b.sz. mell.</vt:lpstr>
      <vt:lpstr>4.c. sz. mell.</vt:lpstr>
      <vt:lpstr>4.1 sz. mell</vt:lpstr>
      <vt:lpstr>4.2 sz. mell</vt:lpstr>
      <vt:lpstr>4.3.sz. mell. </vt:lpstr>
      <vt:lpstr>4.4 sz. mell.</vt:lpstr>
      <vt:lpstr>4.5.sz. mell.</vt:lpstr>
      <vt:lpstr>4.6.sz. mell.</vt:lpstr>
      <vt:lpstr>5. sz. mell. </vt:lpstr>
      <vt:lpstr>5.a sz. mell. </vt:lpstr>
      <vt:lpstr>5.b. sz. mell.</vt:lpstr>
      <vt:lpstr>5.c sz. mell.</vt:lpstr>
      <vt:lpstr>5.1. sz. mell. </vt:lpstr>
      <vt:lpstr>5.1.a. sz. mell.</vt:lpstr>
      <vt:lpstr>5.1.b. sz. mell.</vt:lpstr>
      <vt:lpstr>5.1.c. sz. mell.</vt:lpstr>
      <vt:lpstr>5.2. sz. mell.  </vt:lpstr>
      <vt:lpstr>5.2.a. sz. mell.</vt:lpstr>
      <vt:lpstr>5.2.b. sz. mell</vt:lpstr>
      <vt:lpstr>5.2.c. sz. mell.</vt:lpstr>
      <vt:lpstr>5.3 sz. mell</vt:lpstr>
      <vt:lpstr>5.3.a. sz. mell</vt:lpstr>
      <vt:lpstr>5.3 b. sz. mell</vt:lpstr>
      <vt:lpstr>5.3.c. sz. mell</vt:lpstr>
      <vt:lpstr>5.4. sz mell</vt:lpstr>
      <vt:lpstr>5.4.a. sz mell</vt:lpstr>
      <vt:lpstr>5.4.b. sz mell</vt:lpstr>
      <vt:lpstr>5.4.c. sz mell</vt:lpstr>
      <vt:lpstr>5.5. sz. mell.  </vt:lpstr>
      <vt:lpstr>5.5.a. sz. mell.</vt:lpstr>
      <vt:lpstr>5.5.b.sz. mell</vt:lpstr>
      <vt:lpstr>5.5.c. sz. mell</vt:lpstr>
      <vt:lpstr>5.6. sz. mell</vt:lpstr>
      <vt:lpstr>5.6.a. sz. mell</vt:lpstr>
      <vt:lpstr>5.6.b. sz.</vt:lpstr>
      <vt:lpstr>5.6.c. sz. mell</vt:lpstr>
      <vt:lpstr>5.7. sz. mell.</vt:lpstr>
      <vt:lpstr>5.7.a. sz. mell.</vt:lpstr>
      <vt:lpstr>5.7.b. sz. mell.</vt:lpstr>
      <vt:lpstr>5.7.c. sz. mell. </vt:lpstr>
      <vt:lpstr>5.8. sz. mell.</vt:lpstr>
      <vt:lpstr>5.8.a. sz. mell.</vt:lpstr>
      <vt:lpstr>5.8.b. sz. mell.</vt:lpstr>
      <vt:lpstr>5.8.c. sz. mell.</vt:lpstr>
      <vt:lpstr>5.9. sz. mell.</vt:lpstr>
      <vt:lpstr>5.9.a. sz. mell</vt:lpstr>
      <vt:lpstr>5.9.b. sz. mell.</vt:lpstr>
      <vt:lpstr>5.9.c. sz. mell.</vt:lpstr>
      <vt:lpstr>5.10 sz. mell </vt:lpstr>
      <vt:lpstr>5.10.a.sz. mell</vt:lpstr>
      <vt:lpstr>5.10.b. sz. mell</vt:lpstr>
      <vt:lpstr>5.10.c.sz. mell</vt:lpstr>
      <vt:lpstr>5.10.1. sz. mell.</vt:lpstr>
      <vt:lpstr>6.1.sz.mell. </vt:lpstr>
      <vt:lpstr>6.2.sz.mell.</vt:lpstr>
      <vt:lpstr>7.1. sz mell.</vt:lpstr>
      <vt:lpstr>7.2.. sz mell.</vt:lpstr>
      <vt:lpstr>8.1.sz.mell.</vt:lpstr>
      <vt:lpstr>8.2.sz.mell.</vt:lpstr>
      <vt:lpstr>8.3.sz.mell.</vt:lpstr>
      <vt:lpstr>9. sz. mell </vt:lpstr>
      <vt:lpstr>9.1. sz mell</vt:lpstr>
      <vt:lpstr>10.sz. mell.</vt:lpstr>
      <vt:lpstr>11.sz.mell.</vt:lpstr>
      <vt:lpstr>12. sz. mell.</vt:lpstr>
      <vt:lpstr>13. sz. mell.</vt:lpstr>
      <vt:lpstr>14.sz.mell</vt:lpstr>
      <vt:lpstr>15. sz. melléklet</vt:lpstr>
      <vt:lpstr>16. sz. mell.</vt:lpstr>
      <vt:lpstr>Munka1</vt:lpstr>
      <vt:lpstr>Munka3</vt:lpstr>
      <vt:lpstr>Munka4</vt:lpstr>
      <vt:lpstr>Munka2</vt:lpstr>
      <vt:lpstr>.</vt:lpstr>
      <vt:lpstr>..</vt:lpstr>
      <vt:lpstr>...</vt:lpstr>
      <vt:lpstr>.-</vt:lpstr>
      <vt:lpstr>.-.</vt:lpstr>
      <vt:lpstr>,</vt:lpstr>
      <vt:lpstr>.....</vt:lpstr>
      <vt:lpstr>....</vt:lpstr>
      <vt:lpstr>........</vt:lpstr>
      <vt:lpstr>---</vt:lpstr>
      <vt:lpstr>'---'!Nyomtatási_cím</vt:lpstr>
      <vt:lpstr>','!Nyomtatási_cím</vt:lpstr>
      <vt:lpstr>'.'!Nyomtatási_cím</vt:lpstr>
      <vt:lpstr>'.-'!Nyomtatási_cím</vt:lpstr>
      <vt:lpstr>'..'!Nyomtatási_cím</vt:lpstr>
      <vt:lpstr>'.-.'!Nyomtatási_cím</vt:lpstr>
      <vt:lpstr>'...'!Nyomtatási_cím</vt:lpstr>
      <vt:lpstr>'....'!Nyomtatási_cím</vt:lpstr>
      <vt:lpstr>'.....'!Nyomtatási_cím</vt:lpstr>
      <vt:lpstr>'........'!Nyomtatási_cím</vt:lpstr>
      <vt:lpstr>'2. sz. mell'!Nyomtatási_cím</vt:lpstr>
      <vt:lpstr>'2.a sz. mell'!Nyomtatási_cím</vt:lpstr>
      <vt:lpstr>'2.b sz. mell'!Nyomtatási_cím</vt:lpstr>
      <vt:lpstr>'2.c sz. mell '!Nyomtatási_cím</vt:lpstr>
      <vt:lpstr>'3. a. sz. mell'!Nyomtatási_cím</vt:lpstr>
      <vt:lpstr>'3. sz. mell'!Nyomtatási_cím</vt:lpstr>
      <vt:lpstr>'3.1.asz.melléklet'!Nyomtatási_cím</vt:lpstr>
      <vt:lpstr>'3.2.sz.melléklet'!Nyomtatási_cím</vt:lpstr>
      <vt:lpstr>'3.b. sz. mell'!Nyomtatási_cím</vt:lpstr>
      <vt:lpstr>'3.c. sz. mell '!Nyomtatási_cím</vt:lpstr>
      <vt:lpstr>'4. b.sz. mell.'!Nyomtatási_cím</vt:lpstr>
      <vt:lpstr>'4. sz. mell.'!Nyomtatási_cím</vt:lpstr>
      <vt:lpstr>'4.1 sz. mell'!Nyomtatási_cím</vt:lpstr>
      <vt:lpstr>'4.2 sz. mell'!Nyomtatási_cím</vt:lpstr>
      <vt:lpstr>'4.3.sz. mell. '!Nyomtatási_cím</vt:lpstr>
      <vt:lpstr>'4.4 sz. mell.'!Nyomtatási_cím</vt:lpstr>
      <vt:lpstr>'4.5.sz. mell.'!Nyomtatási_cím</vt:lpstr>
      <vt:lpstr>'4.6.sz. mell.'!Nyomtatási_cím</vt:lpstr>
      <vt:lpstr>'4.a. sz. mell.'!Nyomtatási_cím</vt:lpstr>
      <vt:lpstr>'4.c. sz. mell.'!Nyomtatási_cím</vt:lpstr>
      <vt:lpstr>'5. sz. mell. '!Nyomtatási_cím</vt:lpstr>
      <vt:lpstr>'5.1. sz. mell. '!Nyomtatási_cím</vt:lpstr>
      <vt:lpstr>'5.1.a. sz. mell.'!Nyomtatási_cím</vt:lpstr>
      <vt:lpstr>'5.1.b. sz. mell.'!Nyomtatási_cím</vt:lpstr>
      <vt:lpstr>'5.1.c. sz. mell.'!Nyomtatási_cím</vt:lpstr>
      <vt:lpstr>'5.10 sz. mell '!Nyomtatási_cím</vt:lpstr>
      <vt:lpstr>'5.10.1. sz. mell.'!Nyomtatási_cím</vt:lpstr>
      <vt:lpstr>'5.10.a.sz. mell'!Nyomtatási_cím</vt:lpstr>
      <vt:lpstr>'5.10.b. sz. mell'!Nyomtatási_cím</vt:lpstr>
      <vt:lpstr>'5.10.c.sz. mell'!Nyomtatási_cím</vt:lpstr>
      <vt:lpstr>'5.2. sz. mell.  '!Nyomtatási_cím</vt:lpstr>
      <vt:lpstr>'5.2.a. sz. mell.'!Nyomtatási_cím</vt:lpstr>
      <vt:lpstr>'5.2.b. sz. mell'!Nyomtatási_cím</vt:lpstr>
      <vt:lpstr>'5.2.c. sz. mell.'!Nyomtatási_cím</vt:lpstr>
      <vt:lpstr>'5.3 b. sz. mell'!Nyomtatási_cím</vt:lpstr>
      <vt:lpstr>'5.3 sz. mell'!Nyomtatási_cím</vt:lpstr>
      <vt:lpstr>'5.3.a. sz. mell'!Nyomtatási_cím</vt:lpstr>
      <vt:lpstr>'5.3.c. sz. mell'!Nyomtatási_cím</vt:lpstr>
      <vt:lpstr>'5.4. sz mell'!Nyomtatási_cím</vt:lpstr>
      <vt:lpstr>'5.4.a. sz mell'!Nyomtatási_cím</vt:lpstr>
      <vt:lpstr>'5.4.b. sz mell'!Nyomtatási_cím</vt:lpstr>
      <vt:lpstr>'5.4.c. sz mell'!Nyomtatási_cím</vt:lpstr>
      <vt:lpstr>'5.5. sz. mell.  '!Nyomtatási_cím</vt:lpstr>
      <vt:lpstr>'5.5.a. sz. mell.'!Nyomtatási_cím</vt:lpstr>
      <vt:lpstr>'5.5.b.sz. mell'!Nyomtatási_cím</vt:lpstr>
      <vt:lpstr>'5.5.c. sz. mell'!Nyomtatási_cím</vt:lpstr>
      <vt:lpstr>'5.6. sz. mell'!Nyomtatási_cím</vt:lpstr>
      <vt:lpstr>'5.6.a. sz. mell'!Nyomtatási_cím</vt:lpstr>
      <vt:lpstr>'5.6.b. sz.'!Nyomtatási_cím</vt:lpstr>
      <vt:lpstr>'5.6.c. sz. mell'!Nyomtatási_cím</vt:lpstr>
      <vt:lpstr>'5.7. sz. mell.'!Nyomtatási_cím</vt:lpstr>
      <vt:lpstr>'5.7.a. sz. mell.'!Nyomtatási_cím</vt:lpstr>
      <vt:lpstr>'5.7.b. sz. mell.'!Nyomtatási_cím</vt:lpstr>
      <vt:lpstr>'5.7.c. sz. mell. '!Nyomtatási_cím</vt:lpstr>
      <vt:lpstr>'5.8. sz. mell.'!Nyomtatási_cím</vt:lpstr>
      <vt:lpstr>'5.8.a. sz. mell.'!Nyomtatási_cím</vt:lpstr>
      <vt:lpstr>'5.8.b. sz. mell.'!Nyomtatási_cím</vt:lpstr>
      <vt:lpstr>'5.8.c. sz. mell.'!Nyomtatási_cím</vt:lpstr>
      <vt:lpstr>'5.9. sz. mell.'!Nyomtatási_cím</vt:lpstr>
      <vt:lpstr>'5.9.a. sz. mell'!Nyomtatási_cím</vt:lpstr>
      <vt:lpstr>'5.9.b. sz. mell.'!Nyomtatási_cím</vt:lpstr>
      <vt:lpstr>'5.9.c. sz. mell.'!Nyomtatási_cím</vt:lpstr>
      <vt:lpstr>'5.a sz. mell. '!Nyomtatási_cím</vt:lpstr>
      <vt:lpstr>'5.b. sz. mell.'!Nyomtatási_cím</vt:lpstr>
      <vt:lpstr>'5.c sz. mell.'!Nyomtatási_cím</vt:lpstr>
      <vt:lpstr>'6.2.sz.mell.'!Nyomtatási_cím</vt:lpstr>
      <vt:lpstr>'7.1. sz mell.'!Nyomtatási_cím</vt:lpstr>
      <vt:lpstr>'7.2.. sz mell.'!Nyomtatási_cím</vt:lpstr>
      <vt:lpstr>'9. sz. mell '!Nyomtatási_cím</vt:lpstr>
      <vt:lpstr>'---'!Nyomtatási_terület</vt:lpstr>
      <vt:lpstr>','!Nyomtatási_terület</vt:lpstr>
      <vt:lpstr>'.'!Nyomtatási_terület</vt:lpstr>
      <vt:lpstr>'.-'!Nyomtatási_terület</vt:lpstr>
      <vt:lpstr>'..'!Nyomtatási_terület</vt:lpstr>
      <vt:lpstr>'.-.'!Nyomtatási_terület</vt:lpstr>
      <vt:lpstr>'...'!Nyomtatási_terület</vt:lpstr>
      <vt:lpstr>'....'!Nyomtatási_terület</vt:lpstr>
      <vt:lpstr>'.....'!Nyomtatási_terület</vt:lpstr>
      <vt:lpstr>'........'!Nyomtatási_terület</vt:lpstr>
      <vt:lpstr>'1.1.sz.mell  '!Nyomtatási_terület</vt:lpstr>
      <vt:lpstr>'1.2.sz.mell  '!Nyomtatási_terület</vt:lpstr>
      <vt:lpstr>'1.sz.mell.'!Nyomtatási_terület</vt:lpstr>
      <vt:lpstr>'10.sz. mell.'!Nyomtatási_terület</vt:lpstr>
      <vt:lpstr>'16. sz. mell.'!Nyomtatási_terület</vt:lpstr>
      <vt:lpstr>'2. sz. mell'!Nyomtatási_terület</vt:lpstr>
      <vt:lpstr>'2.a sz. mell'!Nyomtatási_terület</vt:lpstr>
      <vt:lpstr>'2.b sz. mell'!Nyomtatási_terület</vt:lpstr>
      <vt:lpstr>'2.c sz. mell '!Nyomtatási_terület</vt:lpstr>
      <vt:lpstr>'3. a. sz. mell'!Nyomtatási_terület</vt:lpstr>
      <vt:lpstr>'3. sz. mell'!Nyomtatási_terület</vt:lpstr>
      <vt:lpstr>'3.1.asz.melléklet'!Nyomtatási_terület</vt:lpstr>
      <vt:lpstr>'3.2.sz.melléklet'!Nyomtatási_terület</vt:lpstr>
      <vt:lpstr>'3.b. sz. mell'!Nyomtatási_terület</vt:lpstr>
      <vt:lpstr>'3.c. sz. mell '!Nyomtatási_terület</vt:lpstr>
      <vt:lpstr>'4. b.sz. mell.'!Nyomtatási_terület</vt:lpstr>
      <vt:lpstr>'4. sz. mell.'!Nyomtatási_terület</vt:lpstr>
      <vt:lpstr>'4.1 sz. mell'!Nyomtatási_terület</vt:lpstr>
      <vt:lpstr>'4.2 sz. mell'!Nyomtatási_terület</vt:lpstr>
      <vt:lpstr>'4.3.sz. mell. '!Nyomtatási_terület</vt:lpstr>
      <vt:lpstr>'4.4 sz. mell.'!Nyomtatási_terület</vt:lpstr>
      <vt:lpstr>'4.5.sz. mell.'!Nyomtatási_terület</vt:lpstr>
      <vt:lpstr>'4.6.sz. mell.'!Nyomtatási_terület</vt:lpstr>
      <vt:lpstr>'4.a. sz. mell.'!Nyomtatási_terület</vt:lpstr>
      <vt:lpstr>'4.c. sz. mell.'!Nyomtatási_terület</vt:lpstr>
      <vt:lpstr>'5. sz. mell. '!Nyomtatási_terület</vt:lpstr>
      <vt:lpstr>'5.1. sz. mell. '!Nyomtatási_terület</vt:lpstr>
      <vt:lpstr>'5.1.a. sz. mell.'!Nyomtatási_terület</vt:lpstr>
      <vt:lpstr>'5.1.b. sz. mell.'!Nyomtatási_terület</vt:lpstr>
      <vt:lpstr>'5.1.c. sz. mell.'!Nyomtatási_terület</vt:lpstr>
      <vt:lpstr>'5.10 sz. mell '!Nyomtatási_terület</vt:lpstr>
      <vt:lpstr>'5.10.1. sz. mell.'!Nyomtatási_terület</vt:lpstr>
      <vt:lpstr>'5.10.a.sz. mell'!Nyomtatási_terület</vt:lpstr>
      <vt:lpstr>'5.10.b. sz. mell'!Nyomtatási_terület</vt:lpstr>
      <vt:lpstr>'5.10.c.sz. mell'!Nyomtatási_terület</vt:lpstr>
      <vt:lpstr>'5.2. sz. mell.  '!Nyomtatási_terület</vt:lpstr>
      <vt:lpstr>'5.2.a. sz. mell.'!Nyomtatási_terület</vt:lpstr>
      <vt:lpstr>'5.2.b. sz. mell'!Nyomtatási_terület</vt:lpstr>
      <vt:lpstr>'5.2.c. sz. mell.'!Nyomtatási_terület</vt:lpstr>
      <vt:lpstr>'5.3 b. sz. mell'!Nyomtatási_terület</vt:lpstr>
      <vt:lpstr>'5.3 sz. mell'!Nyomtatási_terület</vt:lpstr>
      <vt:lpstr>'5.3.a. sz. mell'!Nyomtatási_terület</vt:lpstr>
      <vt:lpstr>'5.3.c. sz. mell'!Nyomtatási_terület</vt:lpstr>
      <vt:lpstr>'5.4. sz mell'!Nyomtatási_terület</vt:lpstr>
      <vt:lpstr>'5.4.a. sz mell'!Nyomtatási_terület</vt:lpstr>
      <vt:lpstr>'5.4.b. sz mell'!Nyomtatási_terület</vt:lpstr>
      <vt:lpstr>'5.4.c. sz mell'!Nyomtatási_terület</vt:lpstr>
      <vt:lpstr>'5.5. sz. mell.  '!Nyomtatási_terület</vt:lpstr>
      <vt:lpstr>'5.5.a. sz. mell.'!Nyomtatási_terület</vt:lpstr>
      <vt:lpstr>'5.5.b.sz. mell'!Nyomtatási_terület</vt:lpstr>
      <vt:lpstr>'5.5.c. sz. mell'!Nyomtatási_terület</vt:lpstr>
      <vt:lpstr>'5.6. sz. mell'!Nyomtatási_terület</vt:lpstr>
      <vt:lpstr>'5.6.a. sz. mell'!Nyomtatási_terület</vt:lpstr>
      <vt:lpstr>'5.6.b. sz.'!Nyomtatási_terület</vt:lpstr>
      <vt:lpstr>'5.6.c. sz. mell'!Nyomtatási_terület</vt:lpstr>
      <vt:lpstr>'5.7. sz. mell.'!Nyomtatási_terület</vt:lpstr>
      <vt:lpstr>'5.7.a. sz. mell.'!Nyomtatási_terület</vt:lpstr>
      <vt:lpstr>'5.7.b. sz. mell.'!Nyomtatási_terület</vt:lpstr>
      <vt:lpstr>'5.7.c. sz. mell. '!Nyomtatási_terület</vt:lpstr>
      <vt:lpstr>'5.8. sz. mell.'!Nyomtatási_terület</vt:lpstr>
      <vt:lpstr>'5.8.a. sz. mell.'!Nyomtatási_terület</vt:lpstr>
      <vt:lpstr>'5.8.b. sz. mell.'!Nyomtatási_terület</vt:lpstr>
      <vt:lpstr>'5.8.c. sz. mell.'!Nyomtatási_terület</vt:lpstr>
      <vt:lpstr>'5.9. sz. mell.'!Nyomtatási_terület</vt:lpstr>
      <vt:lpstr>'5.9.a. sz. mell'!Nyomtatási_terület</vt:lpstr>
      <vt:lpstr>'5.9.b. sz. mell.'!Nyomtatási_terület</vt:lpstr>
      <vt:lpstr>'5.9.c. sz. mell.'!Nyomtatási_terület</vt:lpstr>
      <vt:lpstr>'5.a sz. mell. '!Nyomtatási_terület</vt:lpstr>
      <vt:lpstr>'5.b. sz. mell.'!Nyomtatási_terület</vt:lpstr>
      <vt:lpstr>'5.c sz. mell.'!Nyomtatási_terület</vt:lpstr>
      <vt:lpstr>'6.1.sz.mell. '!Nyomtatási_terület</vt:lpstr>
      <vt:lpstr>'6.2.sz.mell.'!Nyomtatási_terület</vt:lpstr>
      <vt:lpstr>'7.1. sz mell.'!Nyomtatási_terület</vt:lpstr>
      <vt:lpstr>'7.2.. sz mell.'!Nyomtatási_terület</vt:lpstr>
      <vt:lpstr>'9. sz. mell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VVÖK</cp:lastModifiedBy>
  <cp:lastPrinted>2014-03-05T16:38:30Z</cp:lastPrinted>
  <dcterms:created xsi:type="dcterms:W3CDTF">2012-09-04T16:09:39Z</dcterms:created>
  <dcterms:modified xsi:type="dcterms:W3CDTF">2014-03-05T16:51:58Z</dcterms:modified>
</cp:coreProperties>
</file>